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amandalake/Desktop/1 RCC &amp; EWD: EE/1 RCC - EWD &amp; VCCCD/2025-2026  Year 5 RCC EWD 7:1:25 - 6:30:26 /Quarterly Reporting - Year 5 RCC EWD/"/>
    </mc:Choice>
  </mc:AlternateContent>
  <xr:revisionPtr revIDLastSave="0" documentId="8_{6EBB9F20-22A0-B243-81E4-905FF3F88DCA}" xr6:coauthVersionLast="47" xr6:coauthVersionMax="47" xr10:uidLastSave="{00000000-0000-0000-0000-000000000000}"/>
  <workbookProtection lockStructure="1"/>
  <bookViews>
    <workbookView xWindow="1340" yWindow="500" windowWidth="39620" windowHeight="22540" xr2:uid="{4468C9F9-9C8E-4B82-B271-4B4E67C692C0}"/>
  </bookViews>
  <sheets>
    <sheet name="QUARTERLY_REPORTING" sheetId="1" r:id="rId1"/>
    <sheet name="ALLOCATIONS" sheetId="2" r:id="rId2"/>
    <sheet name="EXPENDITURES" sheetId="4" state="hidden" r:id="rId3"/>
  </sheets>
  <definedNames>
    <definedName name="_xlnm.Print_Area" localSheetId="0">QUARTERLY_REPORTING!$A$1:$L$77</definedName>
    <definedName name="_xlnm.Print_Titles" localSheetId="2">EXPENDITURES!$A:$B,EXPENDITURES!$1:$1</definedName>
    <definedName name="_xlnm.Print_Titles" localSheetId="0">QUARTERLY_REPORTING!$1:$13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6" i="4" l="1"/>
  <c r="T32" i="4"/>
  <c r="T4" i="4"/>
  <c r="T11" i="4"/>
  <c r="R26" i="4"/>
  <c r="S26" i="4"/>
  <c r="R27" i="4"/>
  <c r="T27" i="4" s="1"/>
  <c r="S27" i="4"/>
  <c r="R28" i="4"/>
  <c r="T28" i="4" s="1"/>
  <c r="S28" i="4"/>
  <c r="R29" i="4"/>
  <c r="T29" i="4" s="1"/>
  <c r="S29" i="4"/>
  <c r="R30" i="4"/>
  <c r="T30" i="4" s="1"/>
  <c r="S30" i="4"/>
  <c r="R31" i="4"/>
  <c r="T31" i="4" s="1"/>
  <c r="S31" i="4"/>
  <c r="R32" i="4"/>
  <c r="S32" i="4"/>
  <c r="R33" i="4"/>
  <c r="S33" i="4"/>
  <c r="S25" i="4"/>
  <c r="R25" i="4"/>
  <c r="T25" i="4" s="1"/>
  <c r="R15" i="4"/>
  <c r="S15" i="4"/>
  <c r="R16" i="4"/>
  <c r="S16" i="4"/>
  <c r="R17" i="4"/>
  <c r="S17" i="4"/>
  <c r="R18" i="4"/>
  <c r="S18" i="4"/>
  <c r="R19" i="4"/>
  <c r="S19" i="4"/>
  <c r="R20" i="4"/>
  <c r="S20" i="4"/>
  <c r="R21" i="4"/>
  <c r="S21" i="4"/>
  <c r="S14" i="4"/>
  <c r="R14" i="4"/>
  <c r="T14" i="4" s="1"/>
  <c r="R5" i="4"/>
  <c r="S5" i="4"/>
  <c r="R6" i="4"/>
  <c r="S6" i="4"/>
  <c r="R7" i="4"/>
  <c r="S7" i="4"/>
  <c r="R8" i="4"/>
  <c r="S8" i="4"/>
  <c r="R9" i="4"/>
  <c r="T9" i="4" s="1"/>
  <c r="S9" i="4"/>
  <c r="R10" i="4"/>
  <c r="S10" i="4"/>
  <c r="R11" i="4"/>
  <c r="S11" i="4"/>
  <c r="S4" i="4"/>
  <c r="R4" i="4"/>
  <c r="S3" i="4"/>
  <c r="R3" i="4"/>
  <c r="T3" i="4" s="1"/>
  <c r="F11" i="2"/>
  <c r="F10" i="2"/>
  <c r="F9" i="2"/>
  <c r="F8" i="2"/>
  <c r="F7" i="2"/>
  <c r="F6" i="2"/>
  <c r="F5" i="2"/>
  <c r="F4" i="2"/>
  <c r="T18" i="4" l="1"/>
  <c r="T21" i="4"/>
  <c r="T20" i="4"/>
  <c r="T17" i="4"/>
  <c r="T16" i="4"/>
  <c r="T15" i="4"/>
  <c r="T19" i="4"/>
  <c r="T6" i="4"/>
  <c r="T5" i="4"/>
  <c r="T8" i="4"/>
  <c r="T7" i="4"/>
  <c r="T10" i="4"/>
  <c r="D67" i="1"/>
  <c r="D68" i="1"/>
  <c r="D69" i="1"/>
  <c r="D70" i="1"/>
  <c r="D71" i="1"/>
  <c r="D72" i="1"/>
  <c r="D66" i="1"/>
  <c r="C73" i="1"/>
  <c r="D63" i="1"/>
  <c r="J10" i="1" s="1"/>
  <c r="D47" i="1"/>
  <c r="J9" i="1" s="1"/>
  <c r="D31" i="1"/>
  <c r="J8" i="1" s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0" i="1"/>
  <c r="C39" i="1"/>
  <c r="C38" i="1"/>
  <c r="C37" i="1"/>
  <c r="C36" i="1"/>
  <c r="C35" i="1"/>
  <c r="C34" i="1"/>
  <c r="B40" i="1"/>
  <c r="B39" i="1"/>
  <c r="B38" i="1"/>
  <c r="B37" i="1"/>
  <c r="B36" i="1"/>
  <c r="B35" i="1"/>
  <c r="B34" i="1"/>
  <c r="C24" i="1"/>
  <c r="C23" i="1"/>
  <c r="C22" i="1"/>
  <c r="C21" i="1"/>
  <c r="C20" i="1"/>
  <c r="C19" i="1"/>
  <c r="B24" i="1"/>
  <c r="B23" i="1"/>
  <c r="B22" i="1"/>
  <c r="B21" i="1"/>
  <c r="B20" i="1"/>
  <c r="B19" i="1"/>
  <c r="C18" i="1"/>
  <c r="B18" i="1"/>
  <c r="D15" i="1"/>
  <c r="J7" i="1" l="1"/>
  <c r="J11" i="1" s="1"/>
  <c r="C57" i="1"/>
  <c r="C41" i="1"/>
  <c r="G11" i="2"/>
  <c r="E11" i="2"/>
  <c r="D11" i="2"/>
  <c r="G10" i="2"/>
  <c r="E10" i="2"/>
  <c r="D10" i="2"/>
  <c r="G9" i="2"/>
  <c r="E9" i="2"/>
  <c r="D9" i="2"/>
  <c r="G8" i="2"/>
  <c r="E8" i="2"/>
  <c r="D8" i="2"/>
  <c r="G7" i="2"/>
  <c r="E7" i="2"/>
  <c r="D7" i="2"/>
  <c r="G6" i="2"/>
  <c r="E6" i="2"/>
  <c r="D6" i="2"/>
  <c r="G5" i="2"/>
  <c r="E5" i="2"/>
  <c r="D5" i="2"/>
  <c r="G4" i="2"/>
  <c r="G13" i="2" s="1"/>
  <c r="E4" i="2"/>
  <c r="E13" i="2" s="1"/>
  <c r="D4" i="2"/>
  <c r="D13" i="2" l="1"/>
  <c r="F13" i="2" l="1"/>
  <c r="D18" i="1" l="1"/>
  <c r="K18" i="1"/>
  <c r="L18" i="1" s="1"/>
  <c r="D19" i="1"/>
  <c r="K19" i="1"/>
  <c r="L19" i="1" s="1"/>
  <c r="D20" i="1"/>
  <c r="K20" i="1"/>
  <c r="L20" i="1" s="1"/>
  <c r="D21" i="1"/>
  <c r="K21" i="1"/>
  <c r="L21" i="1" s="1"/>
  <c r="D22" i="1"/>
  <c r="K22" i="1"/>
  <c r="L22" i="1" s="1"/>
  <c r="D23" i="1"/>
  <c r="K23" i="1"/>
  <c r="L23" i="1" s="1"/>
  <c r="D24" i="1"/>
  <c r="K24" i="1"/>
  <c r="L24" i="1" s="1"/>
  <c r="B25" i="1"/>
  <c r="C25" i="1"/>
  <c r="F25" i="1"/>
  <c r="G25" i="1"/>
  <c r="H25" i="1"/>
  <c r="I25" i="1"/>
  <c r="J25" i="1"/>
  <c r="D34" i="1"/>
  <c r="K34" i="1"/>
  <c r="L34" i="1" s="1"/>
  <c r="D35" i="1"/>
  <c r="K35" i="1"/>
  <c r="L35" i="1" s="1"/>
  <c r="D36" i="1"/>
  <c r="K36" i="1"/>
  <c r="L36" i="1" s="1"/>
  <c r="D37" i="1"/>
  <c r="K37" i="1"/>
  <c r="L37" i="1" s="1"/>
  <c r="D38" i="1"/>
  <c r="K38" i="1"/>
  <c r="L38" i="1" s="1"/>
  <c r="D39" i="1"/>
  <c r="K39" i="1"/>
  <c r="L39" i="1" s="1"/>
  <c r="D40" i="1"/>
  <c r="K40" i="1"/>
  <c r="L40" i="1" s="1"/>
  <c r="B41" i="1"/>
  <c r="F41" i="1"/>
  <c r="G41" i="1"/>
  <c r="H41" i="1"/>
  <c r="I41" i="1"/>
  <c r="J41" i="1"/>
  <c r="D50" i="1"/>
  <c r="K50" i="1"/>
  <c r="L50" i="1" s="1"/>
  <c r="D51" i="1"/>
  <c r="K51" i="1"/>
  <c r="L51" i="1" s="1"/>
  <c r="D52" i="1"/>
  <c r="K52" i="1"/>
  <c r="L52" i="1" s="1"/>
  <c r="D53" i="1"/>
  <c r="K53" i="1"/>
  <c r="L53" i="1" s="1"/>
  <c r="D54" i="1"/>
  <c r="K54" i="1"/>
  <c r="L54" i="1" s="1"/>
  <c r="D55" i="1"/>
  <c r="K55" i="1"/>
  <c r="L55" i="1" s="1"/>
  <c r="D56" i="1"/>
  <c r="K56" i="1"/>
  <c r="L56" i="1" s="1"/>
  <c r="B57" i="1"/>
  <c r="F57" i="1"/>
  <c r="G57" i="1"/>
  <c r="H57" i="1"/>
  <c r="I57" i="1"/>
  <c r="J57" i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/>
  <c r="K72" i="1"/>
  <c r="L72" i="1" s="1"/>
  <c r="B73" i="1"/>
  <c r="D73" i="1"/>
  <c r="F63" i="1" s="1"/>
  <c r="L10" i="1" s="1"/>
  <c r="K10" i="1" s="1"/>
  <c r="F73" i="1"/>
  <c r="G73" i="1"/>
  <c r="H73" i="1"/>
  <c r="I73" i="1"/>
  <c r="J73" i="1"/>
  <c r="L57" i="1" l="1"/>
  <c r="L73" i="1"/>
  <c r="L41" i="1"/>
  <c r="D57" i="1"/>
  <c r="F47" i="1" s="1"/>
  <c r="L9" i="1" s="1"/>
  <c r="K9" i="1" s="1"/>
  <c r="D41" i="1"/>
  <c r="F31" i="1" s="1"/>
  <c r="L8" i="1" s="1"/>
  <c r="K8" i="1" s="1"/>
  <c r="D25" i="1"/>
  <c r="F15" i="1" s="1"/>
  <c r="L25" i="1"/>
  <c r="L7" i="1" l="1"/>
  <c r="K7" i="1" s="1"/>
  <c r="L11" i="1" l="1"/>
  <c r="K11" i="1" s="1"/>
</calcChain>
</file>

<file path=xl/sharedStrings.xml><?xml version="1.0" encoding="utf-8"?>
<sst xmlns="http://schemas.openxmlformats.org/spreadsheetml/2006/main" count="271" uniqueCount="108">
  <si>
    <t>TOTALS</t>
  </si>
  <si>
    <t>7000 - Other Outgo</t>
  </si>
  <si>
    <t>6000 - Capital Outlay</t>
  </si>
  <si>
    <t>5000 - Other Operating Exp. &amp; Svcs.</t>
  </si>
  <si>
    <t>4000 - Supplies and Materials</t>
  </si>
  <si>
    <t>3000 - Employee Benefits</t>
  </si>
  <si>
    <t>2000 - Non-Instructional Salaries</t>
  </si>
  <si>
    <t>1000 - Instructional Salaries</t>
  </si>
  <si>
    <t>FY 24-25 CUMULATIVE EXPENDITURES</t>
  </si>
  <si>
    <t>QTR_4
(4/1-6/30)</t>
  </si>
  <si>
    <t>QTR_3
(1/1-3/31)</t>
  </si>
  <si>
    <t>QTR_2
(10/1-12/31)</t>
  </si>
  <si>
    <t>QTR_1 
(7/1-9/30)</t>
  </si>
  <si>
    <t>FY 24-25 BUDGET</t>
  </si>
  <si>
    <t>Cumulative Exp thru 6/30/25</t>
  </si>
  <si>
    <t>Spent thru 6/30/25</t>
  </si>
  <si>
    <t>Spent thru 6/30/24</t>
  </si>
  <si>
    <t>FY 2025-2026 Budget and Expenditures</t>
  </si>
  <si>
    <t>BUDGET REMAINING</t>
  </si>
  <si>
    <t>TOTAL EXPENDITURES TO DATE</t>
  </si>
  <si>
    <t>FY 25-26 BUDGET</t>
  </si>
  <si>
    <t>[fill in]</t>
  </si>
  <si>
    <t>UNSPENT ($$)</t>
  </si>
  <si>
    <t>% UNSPENT</t>
  </si>
  <si>
    <t>ALLOCATION ($$)</t>
  </si>
  <si>
    <t>ALLOCATION YR</t>
  </si>
  <si>
    <t>College</t>
  </si>
  <si>
    <t>Economic and Workforce Development (EWD) Funding for Employer Engagement (EE)</t>
  </si>
  <si>
    <t xml:space="preserve">Regional Collaboration and Coordination (RCC) Grant </t>
  </si>
  <si>
    <t>SOUTH CENTRAL COAST REGIONAL CONSORTIUM (SCCRC)</t>
  </si>
  <si>
    <t>RCC EWD ALLOCATIONS TO COLLEGES FOR EMPLOYER ENGAGEMENT</t>
  </si>
  <si>
    <t>2018-19 FTES CTE, All Students (Credit and Noncredit) Launchboard August 2021</t>
  </si>
  <si>
    <t># CTE FTES</t>
  </si>
  <si>
    <t>% of FTES</t>
  </si>
  <si>
    <t>Annual 
Allocation</t>
  </si>
  <si>
    <t>Additional 
6 month Allocation 
(Jan 22 - Jun 22)</t>
  </si>
  <si>
    <t>Allan Hancock College</t>
  </si>
  <si>
    <t>Antelope Valley College</t>
  </si>
  <si>
    <t>College of the Canyons</t>
  </si>
  <si>
    <t>Cuesta College</t>
  </si>
  <si>
    <t>Moorpark College</t>
  </si>
  <si>
    <t>Oxnard College</t>
  </si>
  <si>
    <t>Santa Barbara City College</t>
  </si>
  <si>
    <t>Ventura College</t>
  </si>
  <si>
    <t>*Note: SBCC Indirect already taken out</t>
  </si>
  <si>
    <t>XXX-College</t>
  </si>
  <si>
    <t>YR1</t>
  </si>
  <si>
    <t>YR3</t>
  </si>
  <si>
    <t>YR2</t>
  </si>
  <si>
    <t>ALLOCATION_YR</t>
  </si>
  <si>
    <t>1000</t>
  </si>
  <si>
    <t>2000</t>
  </si>
  <si>
    <t>3000</t>
  </si>
  <si>
    <t>4000</t>
  </si>
  <si>
    <t>5000</t>
  </si>
  <si>
    <t>6000</t>
  </si>
  <si>
    <t>7000</t>
  </si>
  <si>
    <t>1st Quarter</t>
  </si>
  <si>
    <t>2nd Quarter</t>
  </si>
  <si>
    <t>3rd Quarter</t>
  </si>
  <si>
    <t>4th Quarter</t>
  </si>
  <si>
    <t>Quarter</t>
  </si>
  <si>
    <t xml:space="preserve">Please provide a brief narrative of expenditures to date: (e.g. Salary and benefits for staff for employer engagement, contracted services, supplies and materials, etc.) Please also briefly note any budget changes.  </t>
  </si>
  <si>
    <t>2025-2026 QUARTERLY REPORTING</t>
  </si>
  <si>
    <t>ALLOCATION</t>
  </si>
  <si>
    <t>Email:</t>
  </si>
  <si>
    <t>Submitted by:</t>
  </si>
  <si>
    <t>Reporting Period:</t>
  </si>
  <si>
    <t>YEAR 3</t>
  </si>
  <si>
    <t>YEAR 4</t>
  </si>
  <si>
    <t>Date Submitted:</t>
  </si>
  <si>
    <t>OBJ-1000</t>
  </si>
  <si>
    <t>OBJ-2000</t>
  </si>
  <si>
    <t>OBJ-3000</t>
  </si>
  <si>
    <t>OBJ-4000</t>
  </si>
  <si>
    <t>OBJ-5000</t>
  </si>
  <si>
    <t>OBJ-6000</t>
  </si>
  <si>
    <t>OBJ-7000</t>
  </si>
  <si>
    <t>YEAR 3 - ANNUAL ALLOCATION</t>
  </si>
  <si>
    <t>SUMMARY - ALLOCATIONS VS. UNSPENT TO DATE</t>
  </si>
  <si>
    <t>NOTE: All EWD funds must be fully expended by June 30, 2026. Unspent funds will need to be returned to the Chancellor's Office. </t>
  </si>
  <si>
    <t>2. Report all expenditures for each allocation year in the quarter in which the funds were spent.</t>
  </si>
  <si>
    <t xml:space="preserve">3. When reporting expenditures, follow FIFO principles (first dollars in, first dollars out/expended): </t>
  </si>
  <si>
    <t xml:space="preserve">4. Each allocation year is budgeted and reported on separately, </t>
  </si>
  <si>
    <t>INSTRUCTIONS:</t>
  </si>
  <si>
    <t>&lt;&lt;== AMOUNT REMAINING (Budget this amount in 2025-2026)</t>
  </si>
  <si>
    <t>Total Expenditures</t>
  </si>
  <si>
    <t>2022-23 INITIAL 18 MONTH ALLOCATION (YEAR 1 &amp; YEAR 2)</t>
  </si>
  <si>
    <t>YEAR 1&amp;2</t>
  </si>
  <si>
    <t>YEAR 5</t>
  </si>
  <si>
    <t>2023-24 ANNUAL ALLOCATION (YEAR 3)</t>
  </si>
  <si>
    <t>2024-25 ANNUAL ALLOCATION (YEAR 4)</t>
  </si>
  <si>
    <t>2025-26 ANNUAL ALLOCATION (YEAR 5)</t>
  </si>
  <si>
    <t>YR1&amp;2</t>
  </si>
  <si>
    <t>YR4</t>
  </si>
  <si>
    <t>Initial 18 Month Allocation
YR 1 &amp; YR2
(Jan 22 - Jun 23)</t>
  </si>
  <si>
    <t>Annual Allocation
YR 3 (Jul 23 - Jun 24)
YR 4 (Jul 24 - Jun 25)
YR 5 (Jul 25 - Jun 26)</t>
  </si>
  <si>
    <t>YEAR 1 &amp; YEAR 2 - 18 MONTH ALLOCATION</t>
  </si>
  <si>
    <t>YEAR 4 - ANNUAL ALLOCATION</t>
  </si>
  <si>
    <t>YEAR 5 - ANNUAL  ALLOCATION</t>
  </si>
  <si>
    <t>1. Update your budget by object code for the 2025-26 fiscal reporting year for all allocations.</t>
  </si>
  <si>
    <r>
      <t xml:space="preserve">Step 1) Year 1 &amp; Year 2 Allocation: If budget remaining is </t>
    </r>
    <r>
      <rPr>
        <b/>
        <sz val="12"/>
        <color theme="1"/>
        <rFont val="Aptos Narrow"/>
        <family val="2"/>
        <scheme val="minor"/>
      </rPr>
      <t>zero</t>
    </r>
    <r>
      <rPr>
        <sz val="12"/>
        <color theme="1"/>
        <rFont val="Aptos Narrow"/>
        <family val="2"/>
        <scheme val="minor"/>
      </rPr>
      <t xml:space="preserve"> then </t>
    </r>
    <r>
      <rPr>
        <b/>
        <sz val="12"/>
        <color theme="1"/>
        <rFont val="Aptos Narrow"/>
        <family val="2"/>
        <scheme val="minor"/>
      </rPr>
      <t>go to next step</t>
    </r>
    <r>
      <rPr>
        <sz val="12"/>
        <color theme="1"/>
        <rFont val="Aptos Narrow"/>
        <family val="2"/>
        <scheme val="minor"/>
      </rPr>
      <t>).</t>
    </r>
  </si>
  <si>
    <r>
      <t>Step 2) Year 3 Allocation: If budget remaining is</t>
    </r>
    <r>
      <rPr>
        <b/>
        <sz val="12"/>
        <color theme="1"/>
        <rFont val="Aptos Narrow"/>
        <family val="2"/>
        <scheme val="minor"/>
      </rPr>
      <t xml:space="preserve"> &gt;0</t>
    </r>
    <r>
      <rPr>
        <sz val="12"/>
        <color theme="1"/>
        <rFont val="Aptos Narrow"/>
        <family val="2"/>
        <scheme val="minor"/>
      </rPr>
      <t>, report expenditures here until fully expended, then go to next step.</t>
    </r>
  </si>
  <si>
    <t>Step 3) Year 4 Allocation: Report expenditures here once Years 1-3 are fully expended.</t>
  </si>
  <si>
    <t>Step 4) Year 5 Allocation -- Report remaining expenditures here once Years 1-4 are fully expended.</t>
  </si>
  <si>
    <t>RCC EWD EXPENDITURES BY COLLEGES FOR EMPLOYER ENGAGEMENT</t>
  </si>
  <si>
    <t>CUMULATIVE TOTALS</t>
  </si>
  <si>
    <t>This worksheet is locked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</si>
</sst>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2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6"/>
      <color theme="1"/>
      <name val="Franklin Gothic Heavy"/>
      <family val="2"/>
    </font>
    <font>
      <sz val="16"/>
      <color theme="0"/>
      <name val="Franklin Gothic Heavy"/>
      <family val="2"/>
    </font>
    <font>
      <b/>
      <sz val="14"/>
      <color theme="0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0"/>
      <name val="Calibri"/>
      <family val="2"/>
    </font>
    <font>
      <b/>
      <sz val="16"/>
      <color theme="1"/>
      <name val="Calibri"/>
      <family val="2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name val="Calibri"/>
      <family val="2"/>
    </font>
    <font>
      <b/>
      <sz val="14"/>
      <color theme="1"/>
      <name val="Calibri"/>
      <family val="2"/>
    </font>
    <font>
      <i/>
      <sz val="14"/>
      <color theme="1"/>
      <name val="Calibri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rgb="FF002060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medium">
        <color rgb="FF002060"/>
      </right>
      <top style="medium">
        <color rgb="FF002060"/>
      </top>
      <bottom style="thin">
        <color indexed="64"/>
      </bottom>
      <diagonal/>
    </border>
    <border>
      <left style="medium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2060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rgb="FF002060"/>
      </right>
      <top/>
      <bottom style="double">
        <color indexed="64"/>
      </bottom>
      <diagonal/>
    </border>
    <border>
      <left style="medium">
        <color rgb="FF00206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C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0" applyNumberFormat="0" applyBorder="0" applyAlignment="0" applyProtection="0"/>
    <xf numFmtId="0" fontId="2" fillId="3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37">
    <xf numFmtId="0" fontId="0" fillId="0" borderId="0" xfId="0"/>
    <xf numFmtId="0" fontId="6" fillId="0" borderId="0" xfId="0" applyFont="1"/>
    <xf numFmtId="164" fontId="6" fillId="0" borderId="0" xfId="0" applyNumberFormat="1" applyFont="1"/>
    <xf numFmtId="164" fontId="7" fillId="0" borderId="1" xfId="2" applyNumberFormat="1" applyFont="1"/>
    <xf numFmtId="164" fontId="7" fillId="0" borderId="2" xfId="2" applyNumberFormat="1" applyFont="1" applyBorder="1"/>
    <xf numFmtId="0" fontId="7" fillId="0" borderId="0" xfId="0" applyFont="1"/>
    <xf numFmtId="164" fontId="6" fillId="0" borderId="3" xfId="0" applyNumberFormat="1" applyFont="1" applyBorder="1"/>
    <xf numFmtId="0" fontId="6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8" fillId="0" borderId="0" xfId="0" applyFont="1"/>
    <xf numFmtId="0" fontId="8" fillId="6" borderId="0" xfId="0" applyFont="1" applyFill="1"/>
    <xf numFmtId="164" fontId="0" fillId="0" borderId="3" xfId="0" applyNumberFormat="1" applyBorder="1"/>
    <xf numFmtId="164" fontId="0" fillId="0" borderId="0" xfId="0" applyNumberFormat="1"/>
    <xf numFmtId="44" fontId="0" fillId="0" borderId="0" xfId="1" applyFont="1"/>
    <xf numFmtId="0" fontId="0" fillId="0" borderId="0" xfId="1" applyNumberFormat="1" applyFont="1"/>
    <xf numFmtId="0" fontId="6" fillId="6" borderId="7" xfId="0" applyFont="1" applyFill="1" applyBorder="1"/>
    <xf numFmtId="0" fontId="0" fillId="0" borderId="0" xfId="0" applyAlignment="1">
      <alignment horizontal="right" vertical="center" wrapText="1"/>
    </xf>
    <xf numFmtId="0" fontId="6" fillId="0" borderId="1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2" fillId="0" borderId="3" xfId="4" applyFill="1" applyBorder="1"/>
    <xf numFmtId="165" fontId="2" fillId="0" borderId="3" xfId="4" applyNumberFormat="1" applyFill="1" applyBorder="1"/>
    <xf numFmtId="0" fontId="2" fillId="0" borderId="3" xfId="4" applyFill="1" applyBorder="1" applyAlignment="1">
      <alignment horizontal="center"/>
    </xf>
    <xf numFmtId="0" fontId="2" fillId="0" borderId="0" xfId="4" applyFill="1" applyBorder="1"/>
    <xf numFmtId="165" fontId="2" fillId="0" borderId="0" xfId="4" applyNumberFormat="1" applyFill="1" applyBorder="1"/>
    <xf numFmtId="0" fontId="2" fillId="0" borderId="0" xfId="4" applyFill="1" applyBorder="1" applyAlignment="1">
      <alignment horizontal="center"/>
    </xf>
    <xf numFmtId="0" fontId="2" fillId="4" borderId="3" xfId="4" applyFill="1" applyBorder="1"/>
    <xf numFmtId="165" fontId="2" fillId="4" borderId="3" xfId="4" applyNumberFormat="1" applyFill="1" applyBorder="1"/>
    <xf numFmtId="0" fontId="2" fillId="4" borderId="3" xfId="4" applyFill="1" applyBorder="1" applyAlignment="1">
      <alignment horizontal="center"/>
    </xf>
    <xf numFmtId="164" fontId="0" fillId="4" borderId="3" xfId="0" applyNumberFormat="1" applyFill="1" applyBorder="1"/>
    <xf numFmtId="0" fontId="18" fillId="0" borderId="0" xfId="0" applyFont="1"/>
    <xf numFmtId="164" fontId="11" fillId="0" borderId="3" xfId="0" applyNumberFormat="1" applyFont="1" applyBorder="1"/>
    <xf numFmtId="9" fontId="11" fillId="0" borderId="3" xfId="5" applyFont="1" applyBorder="1"/>
    <xf numFmtId="164" fontId="11" fillId="0" borderId="13" xfId="0" applyNumberFormat="1" applyFont="1" applyBorder="1"/>
    <xf numFmtId="49" fontId="8" fillId="0" borderId="8" xfId="0" applyNumberFormat="1" applyFont="1" applyBorder="1" applyProtection="1">
      <protection locked="0"/>
    </xf>
    <xf numFmtId="14" fontId="8" fillId="0" borderId="8" xfId="0" applyNumberFormat="1" applyFont="1" applyBorder="1" applyProtection="1">
      <protection locked="0"/>
    </xf>
    <xf numFmtId="0" fontId="0" fillId="0" borderId="0" xfId="0" applyAlignment="1">
      <alignment horizontal="left" wrapText="1"/>
    </xf>
    <xf numFmtId="0" fontId="20" fillId="0" borderId="0" xfId="0" applyFont="1" applyAlignment="1">
      <alignment horizontal="center"/>
    </xf>
    <xf numFmtId="0" fontId="21" fillId="6" borderId="0" xfId="0" applyFont="1" applyFill="1"/>
    <xf numFmtId="164" fontId="15" fillId="0" borderId="1" xfId="2" applyNumberFormat="1" applyFont="1"/>
    <xf numFmtId="0" fontId="6" fillId="0" borderId="3" xfId="0" applyFont="1" applyBorder="1"/>
    <xf numFmtId="0" fontId="11" fillId="0" borderId="25" xfId="0" applyFont="1" applyBorder="1"/>
    <xf numFmtId="164" fontId="11" fillId="0" borderId="26" xfId="0" applyNumberFormat="1" applyFont="1" applyBorder="1"/>
    <xf numFmtId="9" fontId="11" fillId="0" borderId="27" xfId="5" applyFont="1" applyBorder="1"/>
    <xf numFmtId="164" fontId="11" fillId="0" borderId="28" xfId="0" applyNumberFormat="1" applyFont="1" applyBorder="1"/>
    <xf numFmtId="164" fontId="11" fillId="0" borderId="30" xfId="0" applyNumberFormat="1" applyFont="1" applyBorder="1"/>
    <xf numFmtId="9" fontId="11" fillId="0" borderId="30" xfId="5" applyFont="1" applyBorder="1"/>
    <xf numFmtId="164" fontId="11" fillId="0" borderId="31" xfId="0" applyNumberFormat="1" applyFont="1" applyBorder="1"/>
    <xf numFmtId="44" fontId="0" fillId="0" borderId="0" xfId="1" applyFont="1" applyFill="1"/>
    <xf numFmtId="0" fontId="16" fillId="0" borderId="8" xfId="0" applyFont="1" applyBorder="1" applyProtection="1">
      <protection locked="0"/>
    </xf>
    <xf numFmtId="0" fontId="8" fillId="0" borderId="8" xfId="0" applyFont="1" applyBorder="1" applyProtection="1">
      <protection locked="0"/>
    </xf>
    <xf numFmtId="42" fontId="11" fillId="4" borderId="3" xfId="0" applyNumberFormat="1" applyFont="1" applyFill="1" applyBorder="1" applyProtection="1">
      <protection locked="0"/>
    </xf>
    <xf numFmtId="0" fontId="2" fillId="0" borderId="6" xfId="4" applyFill="1" applyBorder="1"/>
    <xf numFmtId="165" fontId="2" fillId="0" borderId="6" xfId="4" applyNumberFormat="1" applyFill="1" applyBorder="1"/>
    <xf numFmtId="0" fontId="2" fillId="0" borderId="6" xfId="4" applyFill="1" applyBorder="1" applyAlignment="1">
      <alignment horizontal="center"/>
    </xf>
    <xf numFmtId="164" fontId="0" fillId="0" borderId="6" xfId="0" applyNumberFormat="1" applyBorder="1"/>
    <xf numFmtId="0" fontId="3" fillId="2" borderId="38" xfId="3" applyFont="1" applyBorder="1" applyAlignment="1">
      <alignment horizontal="center" wrapText="1"/>
    </xf>
    <xf numFmtId="0" fontId="3" fillId="2" borderId="39" xfId="3" applyFont="1" applyBorder="1" applyAlignment="1">
      <alignment horizontal="center" wrapText="1"/>
    </xf>
    <xf numFmtId="0" fontId="3" fillId="2" borderId="40" xfId="3" applyFont="1" applyBorder="1" applyAlignment="1">
      <alignment horizontal="center" wrapText="1"/>
    </xf>
    <xf numFmtId="0" fontId="17" fillId="2" borderId="41" xfId="3" applyFont="1" applyBorder="1" applyAlignment="1">
      <alignment horizontal="center" wrapText="1"/>
    </xf>
    <xf numFmtId="165" fontId="17" fillId="2" borderId="42" xfId="7" applyNumberFormat="1" applyFont="1" applyFill="1" applyBorder="1" applyAlignment="1">
      <alignment horizontal="center" wrapText="1"/>
    </xf>
    <xf numFmtId="0" fontId="17" fillId="2" borderId="42" xfId="3" applyFont="1" applyBorder="1" applyAlignment="1">
      <alignment horizontal="center" wrapText="1"/>
    </xf>
    <xf numFmtId="164" fontId="17" fillId="2" borderId="42" xfId="3" applyNumberFormat="1" applyFont="1" applyBorder="1"/>
    <xf numFmtId="164" fontId="17" fillId="2" borderId="43" xfId="3" applyNumberFormat="1" applyFont="1" applyBorder="1"/>
    <xf numFmtId="0" fontId="0" fillId="0" borderId="12" xfId="8" applyFont="1" applyFill="1" applyBorder="1" applyAlignment="1">
      <alignment horizontal="left" indent="1"/>
    </xf>
    <xf numFmtId="0" fontId="0" fillId="0" borderId="29" xfId="8" applyFont="1" applyFill="1" applyBorder="1" applyAlignment="1">
      <alignment horizontal="left" indent="1"/>
    </xf>
    <xf numFmtId="0" fontId="16" fillId="6" borderId="0" xfId="0" applyFont="1" applyFill="1"/>
    <xf numFmtId="0" fontId="24" fillId="6" borderId="0" xfId="0" applyFont="1" applyFill="1" applyAlignment="1">
      <alignment horizontal="right"/>
    </xf>
    <xf numFmtId="164" fontId="25" fillId="0" borderId="5" xfId="0" applyNumberFormat="1" applyFont="1" applyBorder="1"/>
    <xf numFmtId="0" fontId="16" fillId="0" borderId="0" xfId="0" applyFont="1"/>
    <xf numFmtId="164" fontId="25" fillId="6" borderId="0" xfId="0" applyNumberFormat="1" applyFont="1" applyFill="1" applyAlignment="1">
      <alignment horizontal="left"/>
    </xf>
    <xf numFmtId="0" fontId="16" fillId="6" borderId="0" xfId="0" applyFont="1" applyFill="1" applyAlignment="1">
      <alignment horizontal="center" wrapText="1"/>
    </xf>
    <xf numFmtId="0" fontId="26" fillId="0" borderId="0" xfId="0" applyFont="1"/>
    <xf numFmtId="0" fontId="27" fillId="0" borderId="0" xfId="0" applyFont="1" applyAlignment="1">
      <alignment horizontal="center"/>
    </xf>
    <xf numFmtId="0" fontId="18" fillId="8" borderId="23" xfId="0" applyFont="1" applyFill="1" applyBorder="1"/>
    <xf numFmtId="0" fontId="8" fillId="8" borderId="0" xfId="0" applyFont="1" applyFill="1"/>
    <xf numFmtId="0" fontId="8" fillId="8" borderId="20" xfId="0" applyFont="1" applyFill="1" applyBorder="1"/>
    <xf numFmtId="0" fontId="28" fillId="0" borderId="0" xfId="0" applyFont="1" applyAlignment="1">
      <alignment horizontal="center"/>
    </xf>
    <xf numFmtId="0" fontId="18" fillId="8" borderId="23" xfId="0" applyFont="1" applyFill="1" applyBorder="1" applyAlignment="1">
      <alignment horizontal="left" indent="2"/>
    </xf>
    <xf numFmtId="0" fontId="18" fillId="8" borderId="23" xfId="0" applyFont="1" applyFill="1" applyBorder="1" applyAlignment="1">
      <alignment horizontal="left"/>
    </xf>
    <xf numFmtId="0" fontId="29" fillId="8" borderId="24" xfId="0" applyFont="1" applyFill="1" applyBorder="1"/>
    <xf numFmtId="0" fontId="8" fillId="8" borderId="21" xfId="0" applyFont="1" applyFill="1" applyBorder="1"/>
    <xf numFmtId="0" fontId="8" fillId="8" borderId="22" xfId="0" applyFont="1" applyFill="1" applyBorder="1"/>
    <xf numFmtId="0" fontId="19" fillId="0" borderId="0" xfId="8"/>
    <xf numFmtId="0" fontId="14" fillId="9" borderId="14" xfId="0" applyFont="1" applyFill="1" applyBorder="1"/>
    <xf numFmtId="0" fontId="27" fillId="9" borderId="15" xfId="0" applyFont="1" applyFill="1" applyBorder="1"/>
    <xf numFmtId="0" fontId="27" fillId="9" borderId="16" xfId="0" applyFont="1" applyFill="1" applyBorder="1"/>
    <xf numFmtId="0" fontId="7" fillId="0" borderId="6" xfId="0" applyFont="1" applyBorder="1" applyAlignment="1">
      <alignment horizontal="center" wrapText="1"/>
    </xf>
    <xf numFmtId="42" fontId="15" fillId="4" borderId="3" xfId="0" applyNumberFormat="1" applyFont="1" applyFill="1" applyBorder="1" applyProtection="1">
      <protection locked="0"/>
    </xf>
    <xf numFmtId="0" fontId="7" fillId="0" borderId="3" xfId="0" applyFont="1" applyBorder="1" applyAlignment="1">
      <alignment horizontal="center" wrapText="1"/>
    </xf>
    <xf numFmtId="164" fontId="15" fillId="0" borderId="3" xfId="0" applyNumberFormat="1" applyFont="1" applyBorder="1"/>
    <xf numFmtId="164" fontId="0" fillId="0" borderId="43" xfId="0" applyNumberFormat="1" applyBorder="1"/>
    <xf numFmtId="164" fontId="0" fillId="0" borderId="41" xfId="0" applyNumberFormat="1" applyBorder="1"/>
    <xf numFmtId="164" fontId="0" fillId="0" borderId="40" xfId="0" applyNumberFormat="1" applyBorder="1" applyAlignment="1">
      <alignment horizontal="center" wrapText="1"/>
    </xf>
    <xf numFmtId="164" fontId="0" fillId="0" borderId="6" xfId="0" applyNumberFormat="1" applyBorder="1" applyAlignment="1">
      <alignment horizontal="center" wrapText="1"/>
    </xf>
    <xf numFmtId="164" fontId="0" fillId="0" borderId="38" xfId="0" applyNumberFormat="1" applyBorder="1" applyAlignment="1">
      <alignment horizontal="center" wrapText="1"/>
    </xf>
    <xf numFmtId="164" fontId="0" fillId="0" borderId="35" xfId="0" applyNumberFormat="1" applyBorder="1"/>
    <xf numFmtId="164" fontId="0" fillId="0" borderId="45" xfId="0" applyNumberFormat="1" applyBorder="1"/>
    <xf numFmtId="164" fontId="0" fillId="0" borderId="33" xfId="0" applyNumberFormat="1" applyBorder="1"/>
    <xf numFmtId="164" fontId="3" fillId="10" borderId="40" xfId="0" applyNumberFormat="1" applyFont="1" applyFill="1" applyBorder="1" applyAlignment="1">
      <alignment horizontal="center" wrapText="1"/>
    </xf>
    <xf numFmtId="164" fontId="3" fillId="10" borderId="6" xfId="0" applyNumberFormat="1" applyFont="1" applyFill="1" applyBorder="1" applyAlignment="1">
      <alignment horizontal="center" wrapText="1"/>
    </xf>
    <xf numFmtId="164" fontId="3" fillId="10" borderId="38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1" fillId="0" borderId="0" xfId="0" applyFont="1" applyProtection="1">
      <protection locked="0"/>
    </xf>
    <xf numFmtId="0" fontId="31" fillId="0" borderId="0" xfId="0" applyFont="1"/>
    <xf numFmtId="49" fontId="8" fillId="0" borderId="17" xfId="0" applyNumberFormat="1" applyFont="1" applyBorder="1" applyAlignment="1" applyProtection="1">
      <alignment horizontal="left"/>
      <protection locked="0"/>
    </xf>
    <xf numFmtId="49" fontId="8" fillId="0" borderId="19" xfId="0" applyNumberFormat="1" applyFont="1" applyBorder="1" applyAlignment="1" applyProtection="1">
      <alignment horizontal="left"/>
      <protection locked="0"/>
    </xf>
    <xf numFmtId="49" fontId="8" fillId="0" borderId="18" xfId="0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right" vertical="center" wrapText="1"/>
    </xf>
    <xf numFmtId="0" fontId="22" fillId="0" borderId="14" xfId="0" applyFont="1" applyBorder="1" applyAlignment="1" applyProtection="1">
      <alignment horizontal="left" vertical="top" wrapText="1"/>
      <protection locked="0"/>
    </xf>
    <xf numFmtId="0" fontId="22" fillId="0" borderId="15" xfId="0" applyFont="1" applyBorder="1" applyAlignment="1" applyProtection="1">
      <alignment horizontal="left" vertical="top" wrapText="1"/>
      <protection locked="0"/>
    </xf>
    <xf numFmtId="0" fontId="22" fillId="0" borderId="16" xfId="0" applyFont="1" applyBorder="1" applyAlignment="1" applyProtection="1">
      <alignment horizontal="left" vertical="top" wrapText="1"/>
      <protection locked="0"/>
    </xf>
    <xf numFmtId="0" fontId="12" fillId="6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center"/>
    </xf>
    <xf numFmtId="0" fontId="8" fillId="5" borderId="32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3" fillId="7" borderId="0" xfId="0" applyFont="1" applyFill="1" applyAlignment="1">
      <alignment horizontal="center" vertical="center" wrapText="1"/>
    </xf>
    <xf numFmtId="0" fontId="6" fillId="6" borderId="44" xfId="0" applyFont="1" applyFill="1" applyBorder="1" applyAlignment="1">
      <alignment horizontal="left"/>
    </xf>
    <xf numFmtId="0" fontId="6" fillId="6" borderId="0" xfId="0" applyFont="1" applyFill="1" applyAlignment="1">
      <alignment horizontal="left"/>
    </xf>
    <xf numFmtId="0" fontId="13" fillId="7" borderId="0" xfId="0" applyFont="1" applyFill="1" applyAlignment="1">
      <alignment horizontal="center" vertical="center"/>
    </xf>
    <xf numFmtId="0" fontId="9" fillId="6" borderId="33" xfId="0" applyFont="1" applyFill="1" applyBorder="1" applyAlignment="1">
      <alignment horizontal="center"/>
    </xf>
    <xf numFmtId="0" fontId="9" fillId="6" borderId="34" xfId="0" applyFont="1" applyFill="1" applyBorder="1" applyAlignment="1">
      <alignment horizontal="center"/>
    </xf>
    <xf numFmtId="0" fontId="9" fillId="6" borderId="35" xfId="0" applyFont="1" applyFill="1" applyBorder="1" applyAlignment="1">
      <alignment horizontal="center"/>
    </xf>
    <xf numFmtId="0" fontId="9" fillId="6" borderId="36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37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44" fontId="30" fillId="12" borderId="0" xfId="1" applyFont="1" applyFill="1" applyAlignment="1">
      <alignment horizontal="center" vertical="center"/>
    </xf>
    <xf numFmtId="44" fontId="9" fillId="4" borderId="0" xfId="1" applyFont="1" applyFill="1" applyAlignment="1">
      <alignment horizontal="center" vertical="center"/>
    </xf>
    <xf numFmtId="164" fontId="17" fillId="11" borderId="41" xfId="0" applyNumberFormat="1" applyFont="1" applyFill="1" applyBorder="1" applyAlignment="1">
      <alignment horizontal="center" vertical="center" wrapText="1"/>
    </xf>
    <xf numFmtId="164" fontId="17" fillId="11" borderId="42" xfId="0" applyNumberFormat="1" applyFont="1" applyFill="1" applyBorder="1" applyAlignment="1">
      <alignment horizontal="center" vertical="center" wrapText="1"/>
    </xf>
    <xf numFmtId="164" fontId="17" fillId="11" borderId="43" xfId="0" applyNumberFormat="1" applyFont="1" applyFill="1" applyBorder="1" applyAlignment="1">
      <alignment horizontal="center" vertical="center" wrapText="1"/>
    </xf>
    <xf numFmtId="0" fontId="29" fillId="6" borderId="0" xfId="0" applyFont="1" applyFill="1" applyAlignment="1">
      <alignment horizontal="left" vertical="center" wrapText="1"/>
    </xf>
  </cellXfs>
  <cellStyles count="9">
    <cellStyle name="40% - Accent1" xfId="4" builtinId="31"/>
    <cellStyle name="Accent1" xfId="3" builtinId="29"/>
    <cellStyle name="Comma" xfId="7" builtinId="3"/>
    <cellStyle name="Currency" xfId="1" builtinId="4"/>
    <cellStyle name="Hyperlink" xfId="8" builtinId="8"/>
    <cellStyle name="Normal" xfId="0" builtinId="0"/>
    <cellStyle name="Normal 2" xfId="6" xr:uid="{E815ED7E-9DA9-42A8-B260-6432EB654990}"/>
    <cellStyle name="Percent" xfId="5" builtinId="5"/>
    <cellStyle name="Total" xfId="2" builtinId="25"/>
  </cellStyles>
  <dxfs count="69">
    <dxf>
      <numFmt numFmtId="164" formatCode="_(&quot;$&quot;* #,##0_);_(&quot;$&quot;* \(#,##0\);_(&quot;$&quot;* &quot;-&quot;??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_(&quot;$&quot;* #,##0_);_(&quot;$&quot;* \(#,##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_(&quot;$&quot;* #,##0_);_(&quot;$&quot;* \(#,##0\);_(&quot;$&quot;* &quot;-&quot;??_);_(@_)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&quot;$&quot;* #,##0_);_(&quot;$&quot;* \(#,##0\);_(&quot;$&quot;* &quot;-&quot;??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_(&quot;$&quot;* #,##0_);_(&quot;$&quot;* \(#,##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_(&quot;$&quot;* #,##0_);_(&quot;$&quot;* \(#,##0\);_(&quot;$&quot;* &quot;-&quot;??_);_(@_)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&quot;$&quot;* #,##0_);_(&quot;$&quot;* \(#,##0\);_(&quot;$&quot;* &quot;-&quot;??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_(&quot;$&quot;* #,##0_);_(&quot;$&quot;* \(#,##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_(&quot;$&quot;* #,##0_);_(&quot;$&quot;* \(#,##0\);_(&quot;$&quot;* &quot;-&quot;??_);_(@_)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164" formatCode="_(&quot;$&quot;* #,##0_);_(&quot;$&quot;* \(#,##0\);_(&quot;$&quot;* &quot;-&quot;??_);_(@_)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QUARTERLY_REPORTING!A8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26</xdr:row>
      <xdr:rowOff>666750</xdr:rowOff>
    </xdr:from>
    <xdr:to>
      <xdr:col>4</xdr:col>
      <xdr:colOff>228600</xdr:colOff>
      <xdr:row>26</xdr:row>
      <xdr:rowOff>1314450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0ED3E422-2AAF-F1EE-AAFD-27536E8F591E}"/>
            </a:ext>
          </a:extLst>
        </xdr:cNvPr>
        <xdr:cNvSpPr/>
      </xdr:nvSpPr>
      <xdr:spPr>
        <a:xfrm>
          <a:off x="4857750" y="6238875"/>
          <a:ext cx="180975" cy="6477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47625</xdr:colOff>
      <xdr:row>42</xdr:row>
      <xdr:rowOff>666750</xdr:rowOff>
    </xdr:from>
    <xdr:to>
      <xdr:col>4</xdr:col>
      <xdr:colOff>228600</xdr:colOff>
      <xdr:row>42</xdr:row>
      <xdr:rowOff>1314450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E9B1ED22-A67D-4A84-9F05-D62E4F634AA2}"/>
            </a:ext>
          </a:extLst>
        </xdr:cNvPr>
        <xdr:cNvSpPr/>
      </xdr:nvSpPr>
      <xdr:spPr>
        <a:xfrm>
          <a:off x="4857750" y="11515725"/>
          <a:ext cx="180975" cy="6477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47625</xdr:colOff>
      <xdr:row>58</xdr:row>
      <xdr:rowOff>666750</xdr:rowOff>
    </xdr:from>
    <xdr:to>
      <xdr:col>4</xdr:col>
      <xdr:colOff>228600</xdr:colOff>
      <xdr:row>58</xdr:row>
      <xdr:rowOff>1314450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AFB7CD85-3917-419B-B3B5-856094C89312}"/>
            </a:ext>
          </a:extLst>
        </xdr:cNvPr>
        <xdr:cNvSpPr/>
      </xdr:nvSpPr>
      <xdr:spPr>
        <a:xfrm>
          <a:off x="4857750" y="16792575"/>
          <a:ext cx="180975" cy="6477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47625</xdr:colOff>
      <xdr:row>74</xdr:row>
      <xdr:rowOff>666750</xdr:rowOff>
    </xdr:from>
    <xdr:to>
      <xdr:col>4</xdr:col>
      <xdr:colOff>228600</xdr:colOff>
      <xdr:row>74</xdr:row>
      <xdr:rowOff>1314450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A25D9D9F-17A8-4900-954E-FD21E68BA2AF}"/>
            </a:ext>
          </a:extLst>
        </xdr:cNvPr>
        <xdr:cNvSpPr/>
      </xdr:nvSpPr>
      <xdr:spPr>
        <a:xfrm>
          <a:off x="4857750" y="22069425"/>
          <a:ext cx="180975" cy="6477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333906</xdr:colOff>
      <xdr:row>67</xdr:row>
      <xdr:rowOff>65471</xdr:rowOff>
    </xdr:from>
    <xdr:to>
      <xdr:col>3</xdr:col>
      <xdr:colOff>761995</xdr:colOff>
      <xdr:row>70</xdr:row>
      <xdr:rowOff>55825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1D3025C-FB4D-B7BA-4284-E68C0D3993A9}"/>
            </a:ext>
          </a:extLst>
        </xdr:cNvPr>
        <xdr:cNvSpPr txBox="1"/>
      </xdr:nvSpPr>
      <xdr:spPr>
        <a:xfrm rot="20308111">
          <a:off x="2372256" y="15819821"/>
          <a:ext cx="2294989" cy="5047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>
              <a:latin typeface="Franklin Gothic Heavy" panose="020B0903020102020204" pitchFamily="34" charset="0"/>
            </a:rPr>
            <a:t>NOT APPLICABLE</a:t>
          </a:r>
        </a:p>
      </xdr:txBody>
    </xdr:sp>
    <xdr:clientData/>
  </xdr:twoCellAnchor>
  <xdr:twoCellAnchor>
    <xdr:from>
      <xdr:col>8</xdr:col>
      <xdr:colOff>762000</xdr:colOff>
      <xdr:row>0</xdr:row>
      <xdr:rowOff>161925</xdr:rowOff>
    </xdr:from>
    <xdr:to>
      <xdr:col>11</xdr:col>
      <xdr:colOff>361950</xdr:colOff>
      <xdr:row>2</xdr:row>
      <xdr:rowOff>28575</xdr:rowOff>
    </xdr:to>
    <xdr:sp macro="" textlink="">
      <xdr:nvSpPr>
        <xdr:cNvPr id="7" name="Rectangle: Rounded Corner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C23C5D-D14A-5D94-079A-6870BD14695B}"/>
            </a:ext>
          </a:extLst>
        </xdr:cNvPr>
        <xdr:cNvSpPr/>
      </xdr:nvSpPr>
      <xdr:spPr>
        <a:xfrm>
          <a:off x="8629650" y="161925"/>
          <a:ext cx="2371725" cy="33337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GO TO INSTRUCTIONS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FAA809-2F87-4D06-8B95-481225966FC6}" name="Year1" displayName="Year1" ref="A2:P11" totalsRowShown="0" headerRowDxfId="68" dataDxfId="67" headerRowCellStyle="Currency" dataCellStyle="Currency">
  <autoFilter ref="A2:P11" xr:uid="{F7FAA809-2F87-4D06-8B95-481225966FC6}"/>
  <tableColumns count="16">
    <tableColumn id="1" xr3:uid="{1895EA70-7B76-4B3B-B006-DF0313B0B92E}" name="College"/>
    <tableColumn id="2" xr3:uid="{135B2EE4-2707-4F1D-91D4-951A9B6FE3D0}" name="ALLOCATION YR"/>
    <tableColumn id="3" xr3:uid="{0F0FD5E8-0FE6-4D33-BB06-D3812F860624}" name="1000" dataDxfId="66" dataCellStyle="Currency"/>
    <tableColumn id="4" xr3:uid="{78068F63-969E-474A-8537-9A189674CC2C}" name="2000" dataDxfId="65" dataCellStyle="Currency"/>
    <tableColumn id="5" xr3:uid="{EE8C8C09-4419-4DD9-8978-9B6A7F2D3A7E}" name="3000" dataDxfId="64" dataCellStyle="Currency"/>
    <tableColumn id="6" xr3:uid="{A8D93D00-F6A0-48FF-8B35-F022999DD62A}" name="4000" dataDxfId="63" dataCellStyle="Currency"/>
    <tableColumn id="7" xr3:uid="{336A0A5B-C578-4CC0-A352-09BB2C9920A1}" name="5000" dataDxfId="62" dataCellStyle="Currency"/>
    <tableColumn id="8" xr3:uid="{0C7FC6D2-0507-4B95-9910-140E39222BCA}" name="6000" dataDxfId="61" dataCellStyle="Currency"/>
    <tableColumn id="9" xr3:uid="{691B2191-5E5D-4C2A-9BA0-89B5D0071C12}" name="7000" dataDxfId="60" dataCellStyle="Currency"/>
    <tableColumn id="10" xr3:uid="{5B0D389B-7C11-4E2B-B5F6-AE998223EF32}" name="OBJ-1000" dataDxfId="59" dataCellStyle="Currency"/>
    <tableColumn id="11" xr3:uid="{03358B4D-A39E-4075-978F-DC39341FB718}" name="OBJ-2000" dataDxfId="58" dataCellStyle="Currency"/>
    <tableColumn id="12" xr3:uid="{D9DEAA2E-2B88-4806-95A2-B6154ABD2EB7}" name="OBJ-3000" dataDxfId="57" dataCellStyle="Currency"/>
    <tableColumn id="13" xr3:uid="{43488C5F-8BC1-4CB2-8BB6-073AA713EB46}" name="OBJ-4000" dataDxfId="56" dataCellStyle="Currency"/>
    <tableColumn id="14" xr3:uid="{AA7AC07A-6249-40D8-B223-B2F49FCF7489}" name="OBJ-5000" dataDxfId="55" dataCellStyle="Currency"/>
    <tableColumn id="15" xr3:uid="{C35CB906-7544-446B-A43F-4A296761DDF4}" name="OBJ-6000" dataDxfId="54" dataCellStyle="Currency"/>
    <tableColumn id="16" xr3:uid="{CC5EB61D-D084-41CA-A83E-891D66C7267D}" name="OBJ-7000" dataDxfId="53" dataCellStyle="Currenc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8A31F9-5D2D-42B8-BA63-8E03D19DF24F}" name="Year2" displayName="Year2" ref="A13:P22" totalsRowShown="0" headerRowDxfId="52" dataDxfId="51" headerRowCellStyle="Currency" dataCellStyle="Currency">
  <autoFilter ref="A13:P22" xr:uid="{E48A31F9-5D2D-42B8-BA63-8E03D19DF24F}"/>
  <tableColumns count="16">
    <tableColumn id="1" xr3:uid="{72A981F2-5B7E-4CD3-8BB7-D60E6693A3A7}" name="College"/>
    <tableColumn id="2" xr3:uid="{8A30E65B-F86D-4CE0-9D57-79A444962241}" name="ALLOCATION_YR"/>
    <tableColumn id="3" xr3:uid="{7DC9BFB1-E9FD-41A0-8C32-183D198E2315}" name="1000" dataDxfId="50" dataCellStyle="Currency"/>
    <tableColumn id="4" xr3:uid="{EE2236C0-0D03-458A-8ABC-6FD5D5D87538}" name="2000" dataDxfId="49" dataCellStyle="Currency"/>
    <tableColumn id="5" xr3:uid="{B63262D5-1079-40E0-AA9F-8591F671F11D}" name="3000" dataDxfId="48" dataCellStyle="Currency"/>
    <tableColumn id="6" xr3:uid="{578361D6-D91E-4528-9206-49021E7D9771}" name="4000" dataDxfId="47" dataCellStyle="Currency"/>
    <tableColumn id="7" xr3:uid="{12F190A4-8AA6-48B0-BA4D-86DBE9E71370}" name="5000" dataDxfId="46" dataCellStyle="Currency"/>
    <tableColumn id="8" xr3:uid="{58C38A94-F419-44BD-A197-45A6F122B5F7}" name="6000" dataDxfId="45" dataCellStyle="Currency"/>
    <tableColumn id="9" xr3:uid="{CB6AADC2-B6C5-4EF0-BD06-428320481D34}" name="7000" dataDxfId="44" dataCellStyle="Currency"/>
    <tableColumn id="10" xr3:uid="{362F3580-A947-46D7-8626-6DDFECD79312}" name="OBJ-1000" dataDxfId="43" dataCellStyle="Currency"/>
    <tableColumn id="11" xr3:uid="{758DB2FA-6D88-4FC4-9569-61A5D3EAC219}" name="OBJ-2000" dataDxfId="42" dataCellStyle="Currency"/>
    <tableColumn id="12" xr3:uid="{8DB7A8D2-5DEF-44CB-B4E8-EA620B5B9C55}" name="OBJ-3000" dataDxfId="41" dataCellStyle="Currency"/>
    <tableColumn id="13" xr3:uid="{31E81E24-731D-4403-B4F7-E57489F12EB5}" name="OBJ-4000" dataDxfId="40" dataCellStyle="Currency"/>
    <tableColumn id="14" xr3:uid="{FDACB96E-6390-46B4-9084-0E5D65A823F3}" name="OBJ-5000" dataDxfId="39" dataCellStyle="Currency"/>
    <tableColumn id="15" xr3:uid="{3E1E1395-8D88-4C35-922F-9254EF659DDF}" name="OBJ-6000" dataDxfId="38" dataCellStyle="Currency"/>
    <tableColumn id="16" xr3:uid="{BCED1F8D-824D-4950-9713-444469E9DC2C}" name="OBJ-7000" dataDxfId="37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4D5D9B0-B017-495A-A241-01F267C30D9D}" name="Year3" displayName="Year3" ref="A24:P33" totalsRowShown="0" headerRowDxfId="36" dataDxfId="35" headerRowCellStyle="Currency" dataCellStyle="Currency">
  <autoFilter ref="A24:P33" xr:uid="{D4D5D9B0-B017-495A-A241-01F267C30D9D}"/>
  <tableColumns count="16">
    <tableColumn id="1" xr3:uid="{FD24E88E-7AC7-49B7-B128-96ADB25C488C}" name="College"/>
    <tableColumn id="2" xr3:uid="{AF867296-BBA7-401C-BB65-245C5312D991}" name="ALLOCATION_YR"/>
    <tableColumn id="3" xr3:uid="{306A41E1-F1C2-44AF-BBC1-2F15DA743351}" name="1000" dataDxfId="34" dataCellStyle="Currency"/>
    <tableColumn id="4" xr3:uid="{BA57E101-FADC-481D-9309-0AFFCCF6AF63}" name="2000" dataDxfId="33" dataCellStyle="Currency"/>
    <tableColumn id="5" xr3:uid="{B99AF1DF-2BE2-44E7-8CB8-4903E3D41697}" name="3000" dataDxfId="32" dataCellStyle="Currency"/>
    <tableColumn id="6" xr3:uid="{F597F36D-F0B2-49E6-B828-656DE8F2A2EC}" name="4000" dataDxfId="31" dataCellStyle="Currency"/>
    <tableColumn id="7" xr3:uid="{227765CC-0F98-41AC-9D8E-42ECA1D197CF}" name="5000" dataDxfId="30" dataCellStyle="Currency"/>
    <tableColumn id="8" xr3:uid="{52E8C8B3-4B1B-428E-BAD0-E1DE97EDC3D3}" name="6000" dataDxfId="29" dataCellStyle="Currency"/>
    <tableColumn id="9" xr3:uid="{2B77AB49-F9F5-4AD8-B2E1-B33731EC2681}" name="7000" dataDxfId="28" dataCellStyle="Currency"/>
    <tableColumn id="10" xr3:uid="{F233120B-DCF2-4210-BB0C-D06A10EEF298}" name="OBJ-1000" dataDxfId="27" dataCellStyle="Currency"/>
    <tableColumn id="11" xr3:uid="{CCABF06E-F250-433E-9596-D8ED49879ABF}" name="OBJ-2000" dataDxfId="26" dataCellStyle="Currency"/>
    <tableColumn id="12" xr3:uid="{920D5C10-D452-4549-8386-8C4504B27D8B}" name="OBJ-3000" dataDxfId="25" dataCellStyle="Currency"/>
    <tableColumn id="13" xr3:uid="{8C5BA535-1C44-48E5-902E-7FD4D962432D}" name="OBJ-4000" dataDxfId="24" dataCellStyle="Currency"/>
    <tableColumn id="14" xr3:uid="{E2FCF0E5-C25C-41AF-99E3-20D0C4EC215B}" name="OBJ-5000" dataDxfId="23" dataCellStyle="Currency"/>
    <tableColumn id="15" xr3:uid="{BAF411A7-64CA-4643-B171-110E2DA75673}" name="OBJ-6000" dataDxfId="22" dataCellStyle="Currency"/>
    <tableColumn id="16" xr3:uid="{ADAE082F-7BA5-46B3-8826-A9A47AE349C5}" name="OBJ-7000" dataDxfId="21" dataCellStyle="Currenc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290034-BA90-4ECC-B2F2-007C8970BCD1}" name="Table1" displayName="Table1" ref="R2:T10" totalsRowShown="0" headerRowDxfId="20" headerRowBorderDxfId="19" tableBorderDxfId="18" totalsRowBorderDxfId="17">
  <autoFilter ref="R2:T10" xr:uid="{FA290034-BA90-4ECC-B2F2-007C8970BCD1}"/>
  <tableColumns count="3">
    <tableColumn id="1" xr3:uid="{23786A9F-55C0-4BBC-A795-27A4834EECC2}" name="Spent thru 6/30/24" dataDxfId="16">
      <calculatedColumnFormula>SUM(Year1[[#This Row],[1000]:[7000]])</calculatedColumnFormula>
    </tableColumn>
    <tableColumn id="2" xr3:uid="{A784B096-ED9A-4D63-9C31-E9980CD546AB}" name="Spent thru 6/30/25" dataDxfId="15">
      <calculatedColumnFormula>SUM(Year1[[#This Row],[OBJ-1000]:[OBJ-7000]])</calculatedColumnFormula>
    </tableColumn>
    <tableColumn id="3" xr3:uid="{3D76A909-EF9A-4A93-9A07-0D873605C00A}" name="Total Expenditures" dataDxfId="14">
      <calculatedColumnFormula>SUM(R3:S3)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E478129-43CB-4009-A7FC-9C3D9E923AA7}" name="Table5" displayName="Table5" ref="R13:T21" totalsRowShown="0" headerRowDxfId="13" headerRowBorderDxfId="12" tableBorderDxfId="11" totalsRowBorderDxfId="10">
  <autoFilter ref="R13:T21" xr:uid="{CE478129-43CB-4009-A7FC-9C3D9E923AA7}"/>
  <tableColumns count="3">
    <tableColumn id="1" xr3:uid="{7C668084-B647-4866-BF04-23C910DB961F}" name="Spent thru 6/30/24" dataDxfId="9">
      <calculatedColumnFormula>SUM(Year2[[#This Row],[1000]:[7000]])</calculatedColumnFormula>
    </tableColumn>
    <tableColumn id="2" xr3:uid="{C95FD8A6-342B-469B-A5B9-C431F4B6ADE1}" name="Spent thru 6/30/25" dataDxfId="8">
      <calculatedColumnFormula>SUM(Year2[[#This Row],[OBJ-1000]:[OBJ-7000]])</calculatedColumnFormula>
    </tableColumn>
    <tableColumn id="3" xr3:uid="{A5D99AE6-50E1-4461-9106-398B77E8248B}" name="Total Expenditures" dataDxfId="7">
      <calculatedColumnFormula>SUM(R14:S14)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A884B67-04BC-4FA5-8D6C-787F933ECA3D}" name="Table6" displayName="Table6" ref="R24:T32" totalsRowShown="0" headerRowDxfId="6" headerRowBorderDxfId="5" tableBorderDxfId="4" totalsRowBorderDxfId="3">
  <autoFilter ref="R24:T32" xr:uid="{AA884B67-04BC-4FA5-8D6C-787F933ECA3D}"/>
  <tableColumns count="3">
    <tableColumn id="1" xr3:uid="{8BF6BFA5-BAD0-47AA-B512-7754AAD88100}" name="Spent thru 6/30/24" dataDxfId="2">
      <calculatedColumnFormula>SUM(Year3[[#This Row],[1000]:[7000]])</calculatedColumnFormula>
    </tableColumn>
    <tableColumn id="2" xr3:uid="{B0AD5F7C-FD6F-4F42-9154-037A1D226E5D}" name="Spent thru 6/30/25" dataDxfId="1">
      <calculatedColumnFormula>SUM(Year3[[#This Row],[OBJ-1000]:[OBJ-7000]])</calculatedColumnFormula>
    </tableColumn>
    <tableColumn id="3" xr3:uid="{68D38D10-36F7-42C7-B56C-C45BCF22B688}" name="Total Expenditures" dataDxfId="0">
      <calculatedColumnFormula>SUM(R25:S25)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DFBEE-32B0-4AC3-AA52-07EAF7ABC7AC}">
  <sheetPr codeName="Sheet1"/>
  <dimension ref="A1:R88"/>
  <sheetViews>
    <sheetView showGridLines="0" tabSelected="1" zoomScaleNormal="100" zoomScaleSheetLayoutView="100" workbookViewId="0">
      <pane ySplit="12" topLeftCell="A42" activePane="bottomLeft" state="frozen"/>
      <selection pane="bottomLeft" activeCell="G52" sqref="G52"/>
    </sheetView>
  </sheetViews>
  <sheetFormatPr baseColWidth="10" defaultColWidth="9" defaultRowHeight="14" x14ac:dyDescent="0.2"/>
  <cols>
    <col min="1" max="1" width="28.5" style="1" customWidth="1"/>
    <col min="2" max="4" width="13" style="1" customWidth="1"/>
    <col min="5" max="5" width="4" style="1" customWidth="1"/>
    <col min="6" max="12" width="13" style="1" customWidth="1"/>
    <col min="13" max="13" width="44.1640625" style="38" customWidth="1"/>
    <col min="14" max="14" width="13" style="1" customWidth="1"/>
    <col min="15" max="15" width="12.6640625" style="1" customWidth="1"/>
    <col min="16" max="16" width="2.6640625" style="1" customWidth="1"/>
    <col min="17" max="17" width="9" style="1"/>
    <col min="18" max="18" width="10.83203125" style="1" hidden="1" customWidth="1"/>
    <col min="19" max="16384" width="9" style="1"/>
  </cols>
  <sheetData>
    <row r="1" spans="1:18" s="10" customFormat="1" ht="21" customHeight="1" x14ac:dyDescent="0.25">
      <c r="A1" s="39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0"/>
    </row>
    <row r="2" spans="1:18" s="10" customFormat="1" ht="16" x14ac:dyDescent="0.2">
      <c r="A2" s="11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20"/>
    </row>
    <row r="3" spans="1:18" s="10" customFormat="1" ht="16" x14ac:dyDescent="0.2">
      <c r="A3" s="11" t="s">
        <v>27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0"/>
      <c r="R3" s="1" t="s">
        <v>61</v>
      </c>
    </row>
    <row r="4" spans="1:18" ht="15" thickBot="1" x14ac:dyDescent="0.25">
      <c r="M4" s="120"/>
      <c r="R4" s="1" t="s">
        <v>57</v>
      </c>
    </row>
    <row r="5" spans="1:18" ht="14.75" customHeight="1" x14ac:dyDescent="0.2">
      <c r="A5" s="16" t="s">
        <v>26</v>
      </c>
      <c r="C5" s="123" t="s">
        <v>63</v>
      </c>
      <c r="D5" s="123"/>
      <c r="E5" s="123"/>
      <c r="F5" s="123"/>
      <c r="G5" s="123"/>
      <c r="I5" s="117" t="s">
        <v>79</v>
      </c>
      <c r="J5" s="118"/>
      <c r="K5" s="118"/>
      <c r="L5" s="119"/>
      <c r="M5" s="120"/>
      <c r="R5" s="1" t="s">
        <v>58</v>
      </c>
    </row>
    <row r="6" spans="1:18" ht="18.5" customHeight="1" thickBot="1" x14ac:dyDescent="0.3">
      <c r="A6" s="50" t="s">
        <v>36</v>
      </c>
      <c r="C6" s="123"/>
      <c r="D6" s="123"/>
      <c r="E6" s="123"/>
      <c r="F6" s="123"/>
      <c r="G6" s="123"/>
      <c r="I6" s="18" t="s">
        <v>25</v>
      </c>
      <c r="J6" s="41" t="s">
        <v>24</v>
      </c>
      <c r="K6" s="19" t="s">
        <v>23</v>
      </c>
      <c r="L6" s="20" t="s">
        <v>22</v>
      </c>
      <c r="M6" s="120"/>
      <c r="R6" s="1" t="s">
        <v>59</v>
      </c>
    </row>
    <row r="7" spans="1:18" ht="13.5" customHeight="1" thickBot="1" x14ac:dyDescent="0.25">
      <c r="C7" s="123"/>
      <c r="D7" s="123"/>
      <c r="E7" s="123"/>
      <c r="F7" s="123"/>
      <c r="G7" s="123"/>
      <c r="I7" s="65" t="s">
        <v>88</v>
      </c>
      <c r="J7" s="32">
        <f>D15</f>
        <v>216613</v>
      </c>
      <c r="K7" s="33">
        <f>L7/J7</f>
        <v>0</v>
      </c>
      <c r="L7" s="34">
        <f>F15</f>
        <v>0</v>
      </c>
      <c r="M7" s="120"/>
      <c r="R7" s="1" t="s">
        <v>60</v>
      </c>
    </row>
    <row r="8" spans="1:18" ht="13.25" customHeight="1" x14ac:dyDescent="0.2">
      <c r="A8" s="16" t="s">
        <v>67</v>
      </c>
      <c r="C8" s="123"/>
      <c r="D8" s="123"/>
      <c r="E8" s="123"/>
      <c r="F8" s="123"/>
      <c r="G8" s="123"/>
      <c r="I8" s="65" t="s">
        <v>68</v>
      </c>
      <c r="J8" s="32">
        <f>D31</f>
        <v>144409</v>
      </c>
      <c r="K8" s="33">
        <f>L8/J8</f>
        <v>0</v>
      </c>
      <c r="L8" s="34">
        <f>F31</f>
        <v>0</v>
      </c>
      <c r="M8" s="120"/>
    </row>
    <row r="9" spans="1:18" ht="14" customHeight="1" thickBot="1" x14ac:dyDescent="0.25">
      <c r="A9" s="51" t="s">
        <v>57</v>
      </c>
      <c r="C9" s="123"/>
      <c r="D9" s="123"/>
      <c r="E9" s="123"/>
      <c r="F9" s="123"/>
      <c r="G9" s="123"/>
      <c r="I9" s="65" t="s">
        <v>69</v>
      </c>
      <c r="J9" s="32">
        <f>D47</f>
        <v>144409</v>
      </c>
      <c r="K9" s="33">
        <f>L9/J9</f>
        <v>0.62268972155475077</v>
      </c>
      <c r="L9" s="34">
        <f>F47</f>
        <v>89922</v>
      </c>
      <c r="M9" s="120"/>
    </row>
    <row r="10" spans="1:18" ht="14.75" customHeight="1" thickBot="1" x14ac:dyDescent="0.25">
      <c r="C10"/>
      <c r="D10"/>
      <c r="E10"/>
      <c r="F10"/>
      <c r="G10"/>
      <c r="I10" s="66" t="s">
        <v>89</v>
      </c>
      <c r="J10" s="46">
        <f>D63</f>
        <v>144409</v>
      </c>
      <c r="K10" s="47">
        <f>L10/J10</f>
        <v>1</v>
      </c>
      <c r="L10" s="48">
        <f>F63</f>
        <v>144409</v>
      </c>
      <c r="M10" s="120"/>
    </row>
    <row r="11" spans="1:18" ht="14.75" customHeight="1" thickBot="1" x14ac:dyDescent="0.25">
      <c r="A11" s="16" t="s">
        <v>66</v>
      </c>
      <c r="C11" s="121" t="s">
        <v>65</v>
      </c>
      <c r="D11" s="122"/>
      <c r="E11" s="122"/>
      <c r="F11"/>
      <c r="G11" s="16" t="s">
        <v>70</v>
      </c>
      <c r="I11" s="42" t="s">
        <v>0</v>
      </c>
      <c r="J11" s="43">
        <f>SUM(J7:J10)</f>
        <v>649840</v>
      </c>
      <c r="K11" s="44">
        <f>L11/J11</f>
        <v>0.36059799335220977</v>
      </c>
      <c r="L11" s="45">
        <f>SUM(L7:L10)</f>
        <v>234331</v>
      </c>
      <c r="M11" s="120"/>
    </row>
    <row r="12" spans="1:18" ht="18" thickTop="1" thickBot="1" x14ac:dyDescent="0.25">
      <c r="A12" s="35" t="s">
        <v>21</v>
      </c>
      <c r="C12" s="106" t="s">
        <v>21</v>
      </c>
      <c r="D12" s="107"/>
      <c r="E12" s="108"/>
      <c r="G12" s="36" t="s">
        <v>21</v>
      </c>
      <c r="M12" s="120"/>
    </row>
    <row r="13" spans="1:18" ht="15" x14ac:dyDescent="0.2">
      <c r="B13" s="84"/>
      <c r="M13" s="120"/>
    </row>
    <row r="14" spans="1:18" s="7" customFormat="1" ht="20" thickBot="1" x14ac:dyDescent="0.3">
      <c r="A14" s="114" t="s">
        <v>87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3" t="s">
        <v>97</v>
      </c>
    </row>
    <row r="15" spans="1:18" ht="20" thickBot="1" x14ac:dyDescent="0.3">
      <c r="A15" s="67"/>
      <c r="B15" s="67"/>
      <c r="C15" s="68" t="s">
        <v>64</v>
      </c>
      <c r="D15" s="69">
        <f>VLOOKUP($A$6,ALLOCATIONS!$A$3:$G$12,6,FALSE)</f>
        <v>216613</v>
      </c>
      <c r="E15" s="70"/>
      <c r="F15" s="69">
        <f>D15-D25</f>
        <v>0</v>
      </c>
      <c r="G15" s="71" t="s">
        <v>85</v>
      </c>
      <c r="H15" s="67"/>
      <c r="I15" s="67"/>
      <c r="J15" s="67"/>
      <c r="K15" s="67"/>
      <c r="L15" s="67"/>
      <c r="M15" s="113"/>
    </row>
    <row r="16" spans="1:18" s="10" customFormat="1" ht="18" thickTop="1" thickBot="1" x14ac:dyDescent="0.25">
      <c r="F16" s="115" t="s">
        <v>17</v>
      </c>
      <c r="G16" s="116"/>
      <c r="H16" s="116"/>
      <c r="I16" s="116"/>
      <c r="J16" s="116"/>
      <c r="K16" s="116"/>
      <c r="L16" s="116"/>
      <c r="M16" s="113"/>
    </row>
    <row r="17" spans="1:16" ht="46" thickTop="1" x14ac:dyDescent="0.2">
      <c r="A17" s="7"/>
      <c r="B17" s="8" t="s">
        <v>16</v>
      </c>
      <c r="C17" s="8" t="s">
        <v>15</v>
      </c>
      <c r="D17" s="8" t="s">
        <v>14</v>
      </c>
      <c r="E17" s="7"/>
      <c r="F17" s="88" t="s">
        <v>20</v>
      </c>
      <c r="G17" s="9" t="s">
        <v>12</v>
      </c>
      <c r="H17" s="9" t="s">
        <v>11</v>
      </c>
      <c r="I17" s="9" t="s">
        <v>10</v>
      </c>
      <c r="J17" s="9" t="s">
        <v>9</v>
      </c>
      <c r="K17" s="90" t="s">
        <v>19</v>
      </c>
      <c r="L17" s="88" t="s">
        <v>18</v>
      </c>
      <c r="M17" s="113"/>
    </row>
    <row r="18" spans="1:16" ht="15" x14ac:dyDescent="0.2">
      <c r="A18" s="1" t="s">
        <v>7</v>
      </c>
      <c r="B18" s="6">
        <f>VLOOKUP($A$6,Year1[#All],3,FALSE)</f>
        <v>0</v>
      </c>
      <c r="C18" s="6">
        <f>VLOOKUP($A$6,Year1[#All],10,FALSE)</f>
        <v>6211</v>
      </c>
      <c r="D18" s="6">
        <f t="shared" ref="D18:D24" si="0">C18+B18</f>
        <v>6211</v>
      </c>
      <c r="E18" s="2"/>
      <c r="F18" s="89"/>
      <c r="G18" s="52"/>
      <c r="H18" s="52"/>
      <c r="I18" s="52"/>
      <c r="J18" s="52"/>
      <c r="K18" s="91">
        <f t="shared" ref="K18:K24" si="1">G18+H18+I18+J18</f>
        <v>0</v>
      </c>
      <c r="L18" s="91">
        <f t="shared" ref="L18:L24" si="2">F18-K18</f>
        <v>0</v>
      </c>
      <c r="M18" s="113"/>
    </row>
    <row r="19" spans="1:16" ht="15" x14ac:dyDescent="0.2">
      <c r="A19" s="1" t="s">
        <v>6</v>
      </c>
      <c r="B19" s="6">
        <f>VLOOKUP($A$6,Year1[#All],4,FALSE)</f>
        <v>49083</v>
      </c>
      <c r="C19" s="6">
        <f>VLOOKUP($A$6,Year1[#All],11,FALSE)</f>
        <v>26010</v>
      </c>
      <c r="D19" s="6">
        <f t="shared" si="0"/>
        <v>75093</v>
      </c>
      <c r="E19" s="2"/>
      <c r="F19" s="89"/>
      <c r="G19" s="52"/>
      <c r="H19" s="52"/>
      <c r="I19" s="52"/>
      <c r="J19" s="52"/>
      <c r="K19" s="91">
        <f t="shared" si="1"/>
        <v>0</v>
      </c>
      <c r="L19" s="91">
        <f t="shared" si="2"/>
        <v>0</v>
      </c>
      <c r="M19" s="113"/>
    </row>
    <row r="20" spans="1:16" ht="15" x14ac:dyDescent="0.2">
      <c r="A20" s="1" t="s">
        <v>5</v>
      </c>
      <c r="B20" s="6">
        <f>VLOOKUP($A$6,Year1[#All],5,FALSE)</f>
        <v>23615</v>
      </c>
      <c r="C20" s="6">
        <f>VLOOKUP($A$6,Year1[#All],12,FALSE)</f>
        <v>17061</v>
      </c>
      <c r="D20" s="6">
        <f t="shared" si="0"/>
        <v>40676</v>
      </c>
      <c r="E20" s="2"/>
      <c r="F20" s="89"/>
      <c r="G20" s="52"/>
      <c r="H20" s="52"/>
      <c r="I20" s="52"/>
      <c r="J20" s="52"/>
      <c r="K20" s="91">
        <f t="shared" si="1"/>
        <v>0</v>
      </c>
      <c r="L20" s="91">
        <f t="shared" si="2"/>
        <v>0</v>
      </c>
      <c r="M20" s="113"/>
    </row>
    <row r="21" spans="1:16" ht="15" x14ac:dyDescent="0.2">
      <c r="A21" s="1" t="s">
        <v>4</v>
      </c>
      <c r="B21" s="6">
        <f>VLOOKUP($A$6,Year1[#All],6,FALSE)</f>
        <v>4816</v>
      </c>
      <c r="C21" s="6">
        <f>VLOOKUP($A$6,Year1[#All],13,FALSE)</f>
        <v>3176</v>
      </c>
      <c r="D21" s="6">
        <f t="shared" si="0"/>
        <v>7992</v>
      </c>
      <c r="E21" s="2"/>
      <c r="F21" s="89"/>
      <c r="G21" s="52"/>
      <c r="H21" s="52"/>
      <c r="I21" s="52"/>
      <c r="J21" s="52"/>
      <c r="K21" s="91">
        <f t="shared" si="1"/>
        <v>0</v>
      </c>
      <c r="L21" s="91">
        <f t="shared" si="2"/>
        <v>0</v>
      </c>
      <c r="M21" s="113"/>
    </row>
    <row r="22" spans="1:16" ht="15" x14ac:dyDescent="0.2">
      <c r="A22" s="1" t="s">
        <v>3</v>
      </c>
      <c r="B22" s="6">
        <f>VLOOKUP($A$6,Year1[#All],7,FALSE)</f>
        <v>0</v>
      </c>
      <c r="C22" s="6">
        <f>VLOOKUP($A$6,Year1[#All],14,FALSE)</f>
        <v>48965</v>
      </c>
      <c r="D22" s="6">
        <f t="shared" si="0"/>
        <v>48965</v>
      </c>
      <c r="E22" s="2"/>
      <c r="F22" s="89"/>
      <c r="G22" s="52"/>
      <c r="H22" s="52"/>
      <c r="I22" s="52"/>
      <c r="J22" s="52"/>
      <c r="K22" s="91">
        <f t="shared" si="1"/>
        <v>0</v>
      </c>
      <c r="L22" s="91">
        <f t="shared" si="2"/>
        <v>0</v>
      </c>
      <c r="M22" s="113"/>
    </row>
    <row r="23" spans="1:16" ht="15" x14ac:dyDescent="0.2">
      <c r="A23" s="1" t="s">
        <v>2</v>
      </c>
      <c r="B23" s="6">
        <f>VLOOKUP($A$6,Year1[#All],8,FALSE)</f>
        <v>0</v>
      </c>
      <c r="C23" s="6">
        <f>VLOOKUP($A$6,Year1[#All],15,FALSE)</f>
        <v>37676</v>
      </c>
      <c r="D23" s="6">
        <f t="shared" si="0"/>
        <v>37676</v>
      </c>
      <c r="E23" s="2"/>
      <c r="F23" s="89"/>
      <c r="G23" s="52"/>
      <c r="H23" s="52"/>
      <c r="I23" s="52"/>
      <c r="J23" s="52"/>
      <c r="K23" s="91">
        <f t="shared" si="1"/>
        <v>0</v>
      </c>
      <c r="L23" s="91">
        <f t="shared" si="2"/>
        <v>0</v>
      </c>
      <c r="M23" s="113"/>
    </row>
    <row r="24" spans="1:16" ht="15" x14ac:dyDescent="0.2">
      <c r="A24" s="1" t="s">
        <v>1</v>
      </c>
      <c r="B24" s="6">
        <f>VLOOKUP($A$6,Year1[#All],9,FALSE)</f>
        <v>0</v>
      </c>
      <c r="C24" s="6">
        <f>VLOOKUP($A$6,Year1[#All],16,FALSE)</f>
        <v>0</v>
      </c>
      <c r="D24" s="6">
        <f t="shared" si="0"/>
        <v>0</v>
      </c>
      <c r="E24" s="2"/>
      <c r="F24" s="89"/>
      <c r="G24" s="52"/>
      <c r="H24" s="52"/>
      <c r="I24" s="52"/>
      <c r="J24" s="52"/>
      <c r="K24" s="91">
        <f t="shared" si="1"/>
        <v>0</v>
      </c>
      <c r="L24" s="91">
        <f t="shared" si="2"/>
        <v>0</v>
      </c>
      <c r="M24" s="113"/>
    </row>
    <row r="25" spans="1:16" ht="16" thickBot="1" x14ac:dyDescent="0.25">
      <c r="A25" s="5" t="s">
        <v>0</v>
      </c>
      <c r="B25" s="3">
        <f>SUM(B18:B24)</f>
        <v>77514</v>
      </c>
      <c r="C25" s="4">
        <f>SUM(C18:C24)</f>
        <v>139099</v>
      </c>
      <c r="D25" s="4">
        <f>SUM(D18:D24)</f>
        <v>216613</v>
      </c>
      <c r="E25" s="2"/>
      <c r="F25" s="40">
        <f>SUM(F18:F24)</f>
        <v>0</v>
      </c>
      <c r="G25" s="40">
        <f>SUM(G18:G24)</f>
        <v>0</v>
      </c>
      <c r="H25" s="40">
        <f>SUM(H18:H24)</f>
        <v>0</v>
      </c>
      <c r="I25" s="40">
        <f>SUM(I18:I24)</f>
        <v>0</v>
      </c>
      <c r="J25" s="40">
        <f>SUM(J18:J24)</f>
        <v>0</v>
      </c>
      <c r="K25" s="40"/>
      <c r="L25" s="40">
        <f>SUM(L18:L24)</f>
        <v>0</v>
      </c>
      <c r="M25" s="113"/>
    </row>
    <row r="26" spans="1:16" customFormat="1" ht="17" thickTop="1" thickBot="1" x14ac:dyDescent="0.25">
      <c r="M26" s="113"/>
    </row>
    <row r="27" spans="1:16" customFormat="1" ht="165.5" customHeight="1" thickBot="1" x14ac:dyDescent="0.25">
      <c r="A27" s="109" t="s">
        <v>62</v>
      </c>
      <c r="B27" s="109"/>
      <c r="C27" s="109"/>
      <c r="D27" s="109"/>
      <c r="F27" s="110"/>
      <c r="G27" s="111"/>
      <c r="H27" s="111"/>
      <c r="I27" s="111"/>
      <c r="J27" s="111"/>
      <c r="K27" s="111"/>
      <c r="L27" s="112"/>
      <c r="M27" s="113"/>
    </row>
    <row r="28" spans="1:16" customFormat="1" ht="15" x14ac:dyDescent="0.2">
      <c r="A28" s="17"/>
      <c r="B28" s="17"/>
      <c r="C28" s="17"/>
      <c r="D28" s="17"/>
      <c r="F28" s="37"/>
      <c r="G28" s="37"/>
      <c r="H28" s="37"/>
      <c r="I28" s="37"/>
      <c r="J28" s="37"/>
      <c r="K28" s="37"/>
      <c r="L28" s="37"/>
      <c r="M28" s="113"/>
    </row>
    <row r="29" spans="1:16" customFormat="1" ht="15" x14ac:dyDescent="0.2">
      <c r="M29" s="113"/>
    </row>
    <row r="30" spans="1:16" s="7" customFormat="1" ht="20" thickBot="1" x14ac:dyDescent="0.3">
      <c r="A30" s="114" t="s">
        <v>90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20" t="s">
        <v>78</v>
      </c>
    </row>
    <row r="31" spans="1:16" s="7" customFormat="1" ht="20" thickBot="1" x14ac:dyDescent="0.3">
      <c r="A31" s="72"/>
      <c r="B31" s="67"/>
      <c r="C31" s="68" t="s">
        <v>64</v>
      </c>
      <c r="D31" s="69">
        <f>VLOOKUP($A$6,ALLOCATIONS!$A$3:$G$12,7,FALSE)</f>
        <v>144409</v>
      </c>
      <c r="E31" s="73"/>
      <c r="F31" s="69">
        <f>D31-D41</f>
        <v>0</v>
      </c>
      <c r="G31" s="71" t="s">
        <v>85</v>
      </c>
      <c r="H31" s="72"/>
      <c r="I31" s="67"/>
      <c r="J31" s="67"/>
      <c r="K31" s="67"/>
      <c r="L31" s="67"/>
      <c r="M31" s="120"/>
      <c r="N31" s="1"/>
      <c r="O31" s="1"/>
      <c r="P31" s="1"/>
    </row>
    <row r="32" spans="1:16" s="10" customFormat="1" ht="18" thickTop="1" thickBot="1" x14ac:dyDescent="0.25">
      <c r="F32" s="115" t="s">
        <v>17</v>
      </c>
      <c r="G32" s="116"/>
      <c r="H32" s="116"/>
      <c r="I32" s="116"/>
      <c r="J32" s="116"/>
      <c r="K32" s="116"/>
      <c r="L32" s="116"/>
      <c r="M32" s="120"/>
    </row>
    <row r="33" spans="1:16" ht="46" thickTop="1" x14ac:dyDescent="0.2">
      <c r="A33" s="7"/>
      <c r="B33" s="8" t="s">
        <v>16</v>
      </c>
      <c r="C33" s="8" t="s">
        <v>15</v>
      </c>
      <c r="D33" s="8" t="s">
        <v>14</v>
      </c>
      <c r="E33" s="7"/>
      <c r="F33" s="88" t="s">
        <v>20</v>
      </c>
      <c r="G33" s="9" t="s">
        <v>12</v>
      </c>
      <c r="H33" s="9" t="s">
        <v>11</v>
      </c>
      <c r="I33" s="9" t="s">
        <v>10</v>
      </c>
      <c r="J33" s="9" t="s">
        <v>9</v>
      </c>
      <c r="K33" s="90" t="s">
        <v>19</v>
      </c>
      <c r="L33" s="88" t="s">
        <v>18</v>
      </c>
      <c r="M33" s="120"/>
    </row>
    <row r="34" spans="1:16" ht="15" x14ac:dyDescent="0.2">
      <c r="A34" s="1" t="s">
        <v>7</v>
      </c>
      <c r="B34" s="6">
        <f>VLOOKUP($A$6,Year2[#All],3,FALSE)</f>
        <v>0</v>
      </c>
      <c r="C34" s="6">
        <f>VLOOKUP($A$6,Year2[#All],10,FALSE)</f>
        <v>21784</v>
      </c>
      <c r="D34" s="6">
        <f t="shared" ref="D34:D40" si="3">C34+B34</f>
        <v>21784</v>
      </c>
      <c r="E34" s="2"/>
      <c r="F34" s="89"/>
      <c r="G34" s="52"/>
      <c r="H34" s="52"/>
      <c r="I34" s="52"/>
      <c r="J34" s="52"/>
      <c r="K34" s="91">
        <f t="shared" ref="K34:K40" si="4">G34+H34+I34+J34</f>
        <v>0</v>
      </c>
      <c r="L34" s="91">
        <f t="shared" ref="L34:L40" si="5">F34-K34</f>
        <v>0</v>
      </c>
      <c r="M34" s="120"/>
    </row>
    <row r="35" spans="1:16" ht="15" x14ac:dyDescent="0.2">
      <c r="A35" s="1" t="s">
        <v>6</v>
      </c>
      <c r="B35" s="6">
        <f>VLOOKUP($A$6,Year2[#All],4,FALSE)</f>
        <v>0</v>
      </c>
      <c r="C35" s="6">
        <f>VLOOKUP($A$6,Year2[#All],11,FALSE)</f>
        <v>45265</v>
      </c>
      <c r="D35" s="6">
        <f t="shared" si="3"/>
        <v>45265</v>
      </c>
      <c r="E35" s="2"/>
      <c r="F35" s="89"/>
      <c r="G35" s="52"/>
      <c r="H35" s="52"/>
      <c r="I35" s="52"/>
      <c r="J35" s="52"/>
      <c r="K35" s="91">
        <f t="shared" si="4"/>
        <v>0</v>
      </c>
      <c r="L35" s="91">
        <f t="shared" si="5"/>
        <v>0</v>
      </c>
      <c r="M35" s="120"/>
    </row>
    <row r="36" spans="1:16" ht="15" x14ac:dyDescent="0.2">
      <c r="A36" s="1" t="s">
        <v>5</v>
      </c>
      <c r="B36" s="6">
        <f>VLOOKUP($A$6,Year2[#All],5,FALSE)</f>
        <v>0</v>
      </c>
      <c r="C36" s="6">
        <f>VLOOKUP($A$6,Year2[#All],12,FALSE)</f>
        <v>23918</v>
      </c>
      <c r="D36" s="6">
        <f t="shared" si="3"/>
        <v>23918</v>
      </c>
      <c r="E36" s="2"/>
      <c r="F36" s="89"/>
      <c r="G36" s="52"/>
      <c r="H36" s="52"/>
      <c r="I36" s="52"/>
      <c r="J36" s="52"/>
      <c r="K36" s="91">
        <f t="shared" si="4"/>
        <v>0</v>
      </c>
      <c r="L36" s="91">
        <f t="shared" si="5"/>
        <v>0</v>
      </c>
      <c r="M36" s="120"/>
    </row>
    <row r="37" spans="1:16" ht="15" x14ac:dyDescent="0.2">
      <c r="A37" s="1" t="s">
        <v>4</v>
      </c>
      <c r="B37" s="6">
        <f>VLOOKUP($A$6,Year2[#All],6,FALSE)</f>
        <v>0</v>
      </c>
      <c r="C37" s="6">
        <f>VLOOKUP($A$6,Year2[#All],13,FALSE)</f>
        <v>29330</v>
      </c>
      <c r="D37" s="6">
        <f t="shared" si="3"/>
        <v>29330</v>
      </c>
      <c r="E37" s="2"/>
      <c r="F37" s="89"/>
      <c r="G37" s="52"/>
      <c r="H37" s="52"/>
      <c r="I37" s="52"/>
      <c r="J37" s="52"/>
      <c r="K37" s="91">
        <f t="shared" si="4"/>
        <v>0</v>
      </c>
      <c r="L37" s="91">
        <f t="shared" si="5"/>
        <v>0</v>
      </c>
      <c r="M37" s="120"/>
    </row>
    <row r="38" spans="1:16" ht="15" x14ac:dyDescent="0.2">
      <c r="A38" s="1" t="s">
        <v>3</v>
      </c>
      <c r="B38" s="6">
        <f>VLOOKUP($A$6,Year2[#All],7,FALSE)</f>
        <v>0</v>
      </c>
      <c r="C38" s="6">
        <f>VLOOKUP($A$6,Year2[#All],14,FALSE)</f>
        <v>24112</v>
      </c>
      <c r="D38" s="6">
        <f t="shared" si="3"/>
        <v>24112</v>
      </c>
      <c r="E38" s="2"/>
      <c r="F38" s="89"/>
      <c r="G38" s="52"/>
      <c r="H38" s="52"/>
      <c r="I38" s="52"/>
      <c r="J38" s="52"/>
      <c r="K38" s="91">
        <f t="shared" si="4"/>
        <v>0</v>
      </c>
      <c r="L38" s="91">
        <f t="shared" si="5"/>
        <v>0</v>
      </c>
      <c r="M38" s="120"/>
    </row>
    <row r="39" spans="1:16" ht="15" x14ac:dyDescent="0.2">
      <c r="A39" s="1" t="s">
        <v>2</v>
      </c>
      <c r="B39" s="6">
        <f>VLOOKUP($A$6,Year2[#All],8,FALSE)</f>
        <v>0</v>
      </c>
      <c r="C39" s="6">
        <f>VLOOKUP($A$6,Year2[#All],15,FALSE)</f>
        <v>0</v>
      </c>
      <c r="D39" s="6">
        <f t="shared" si="3"/>
        <v>0</v>
      </c>
      <c r="E39" s="2"/>
      <c r="F39" s="89"/>
      <c r="G39" s="52"/>
      <c r="H39" s="52"/>
      <c r="I39" s="52"/>
      <c r="J39" s="52"/>
      <c r="K39" s="91">
        <f t="shared" si="4"/>
        <v>0</v>
      </c>
      <c r="L39" s="91">
        <f t="shared" si="5"/>
        <v>0</v>
      </c>
      <c r="M39" s="120"/>
    </row>
    <row r="40" spans="1:16" ht="15" x14ac:dyDescent="0.2">
      <c r="A40" s="1" t="s">
        <v>1</v>
      </c>
      <c r="B40" s="6">
        <f>VLOOKUP($A$6,Year2[#All],9,FALSE)</f>
        <v>0</v>
      </c>
      <c r="C40" s="6">
        <f>VLOOKUP($A$6,Year2[#All],16,FALSE)</f>
        <v>0</v>
      </c>
      <c r="D40" s="6">
        <f t="shared" si="3"/>
        <v>0</v>
      </c>
      <c r="E40" s="2"/>
      <c r="F40" s="89"/>
      <c r="G40" s="52"/>
      <c r="H40" s="52"/>
      <c r="I40" s="52"/>
      <c r="J40" s="52"/>
      <c r="K40" s="91">
        <f t="shared" si="4"/>
        <v>0</v>
      </c>
      <c r="L40" s="91">
        <f t="shared" si="5"/>
        <v>0</v>
      </c>
      <c r="M40" s="120"/>
      <c r="N40" s="7"/>
      <c r="O40" s="7"/>
      <c r="P40" s="7"/>
    </row>
    <row r="41" spans="1:16" s="7" customFormat="1" ht="16" thickBot="1" x14ac:dyDescent="0.25">
      <c r="A41" s="5" t="s">
        <v>0</v>
      </c>
      <c r="B41" s="3">
        <f>SUM(B34:B40)</f>
        <v>0</v>
      </c>
      <c r="C41" s="3">
        <f>SUM(C34:C40)</f>
        <v>144409</v>
      </c>
      <c r="D41" s="4">
        <f>SUM(D34:D40)</f>
        <v>144409</v>
      </c>
      <c r="E41" s="2"/>
      <c r="F41" s="40">
        <f>SUM(F34:F40)</f>
        <v>0</v>
      </c>
      <c r="G41" s="40">
        <f>SUM(G34:G40)</f>
        <v>0</v>
      </c>
      <c r="H41" s="40">
        <f>SUM(H34:H40)</f>
        <v>0</v>
      </c>
      <c r="I41" s="40">
        <f>SUM(I34:I40)</f>
        <v>0</v>
      </c>
      <c r="J41" s="40">
        <f>SUM(J34:J40)</f>
        <v>0</v>
      </c>
      <c r="K41" s="40"/>
      <c r="L41" s="40">
        <f>SUM(L34:L40)</f>
        <v>0</v>
      </c>
      <c r="M41" s="120"/>
      <c r="N41" s="1"/>
      <c r="O41" s="1"/>
      <c r="P41" s="1"/>
    </row>
    <row r="42" spans="1:16" customFormat="1" ht="17" thickTop="1" thickBot="1" x14ac:dyDescent="0.25">
      <c r="M42" s="120"/>
    </row>
    <row r="43" spans="1:16" customFormat="1" ht="165.5" customHeight="1" thickBot="1" x14ac:dyDescent="0.25">
      <c r="A43" s="109" t="s">
        <v>62</v>
      </c>
      <c r="B43" s="109"/>
      <c r="C43" s="109"/>
      <c r="D43" s="109"/>
      <c r="F43" s="110"/>
      <c r="G43" s="111"/>
      <c r="H43" s="111"/>
      <c r="I43" s="111"/>
      <c r="J43" s="111"/>
      <c r="K43" s="111"/>
      <c r="L43" s="112"/>
      <c r="M43" s="120"/>
    </row>
    <row r="44" spans="1:16" customFormat="1" ht="15" x14ac:dyDescent="0.2">
      <c r="A44" s="17"/>
      <c r="B44" s="17"/>
      <c r="C44" s="17"/>
      <c r="D44" s="17"/>
      <c r="F44" s="37"/>
      <c r="G44" s="37"/>
      <c r="H44" s="37"/>
      <c r="I44" s="37"/>
      <c r="J44" s="37"/>
      <c r="K44" s="37"/>
      <c r="L44" s="37"/>
      <c r="M44" s="120"/>
    </row>
    <row r="45" spans="1:16" customFormat="1" ht="15" x14ac:dyDescent="0.2">
      <c r="M45" s="120"/>
    </row>
    <row r="46" spans="1:16" s="7" customFormat="1" ht="20" thickBot="1" x14ac:dyDescent="0.3">
      <c r="A46" s="114" t="s">
        <v>91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3" t="s">
        <v>98</v>
      </c>
    </row>
    <row r="47" spans="1:16" ht="20" thickBot="1" x14ac:dyDescent="0.3">
      <c r="A47" s="67"/>
      <c r="B47" s="67"/>
      <c r="C47" s="68" t="s">
        <v>64</v>
      </c>
      <c r="D47" s="69">
        <f>VLOOKUP($A$6,ALLOCATIONS!$A$3:$G$12,7,FALSE)</f>
        <v>144409</v>
      </c>
      <c r="E47" s="70"/>
      <c r="F47" s="69">
        <f>D47-D57</f>
        <v>89922</v>
      </c>
      <c r="G47" s="71" t="s">
        <v>85</v>
      </c>
      <c r="H47" s="67"/>
      <c r="I47" s="67"/>
      <c r="J47" s="67"/>
      <c r="K47" s="67"/>
      <c r="L47" s="67"/>
      <c r="M47" s="113"/>
    </row>
    <row r="48" spans="1:16" s="10" customFormat="1" ht="18" thickTop="1" thickBot="1" x14ac:dyDescent="0.25">
      <c r="F48" s="115" t="s">
        <v>17</v>
      </c>
      <c r="G48" s="116"/>
      <c r="H48" s="116"/>
      <c r="I48" s="116"/>
      <c r="J48" s="116"/>
      <c r="K48" s="116"/>
      <c r="L48" s="116"/>
      <c r="M48" s="113"/>
    </row>
    <row r="49" spans="1:13" ht="46" thickTop="1" x14ac:dyDescent="0.2">
      <c r="A49" s="7"/>
      <c r="B49" s="8" t="s">
        <v>16</v>
      </c>
      <c r="C49" s="8" t="s">
        <v>15</v>
      </c>
      <c r="D49" s="8" t="s">
        <v>14</v>
      </c>
      <c r="E49" s="7"/>
      <c r="F49" s="90" t="s">
        <v>13</v>
      </c>
      <c r="G49" s="8" t="s">
        <v>12</v>
      </c>
      <c r="H49" s="8" t="s">
        <v>11</v>
      </c>
      <c r="I49" s="8" t="s">
        <v>10</v>
      </c>
      <c r="J49" s="8" t="s">
        <v>9</v>
      </c>
      <c r="K49" s="90" t="s">
        <v>19</v>
      </c>
      <c r="L49" s="90" t="s">
        <v>8</v>
      </c>
      <c r="M49" s="113"/>
    </row>
    <row r="50" spans="1:13" ht="15" x14ac:dyDescent="0.2">
      <c r="A50" s="1" t="s">
        <v>7</v>
      </c>
      <c r="B50" s="6">
        <f>VLOOKUP($A$6,Year3[#All],3,FALSE)</f>
        <v>0</v>
      </c>
      <c r="C50" s="6">
        <f>VLOOKUP($A$6,Year3[#All],10,FALSE)</f>
        <v>29850</v>
      </c>
      <c r="D50" s="6">
        <f t="shared" ref="D50:D56" si="6">C50+B50</f>
        <v>29850</v>
      </c>
      <c r="E50" s="2"/>
      <c r="F50" s="89"/>
      <c r="G50" s="52"/>
      <c r="H50" s="52"/>
      <c r="I50" s="52"/>
      <c r="J50" s="52"/>
      <c r="K50" s="91">
        <f t="shared" ref="K50:K56" si="7">G50+H50+I50+J50</f>
        <v>0</v>
      </c>
      <c r="L50" s="91">
        <f t="shared" ref="L50:L56" si="8">F50-K50</f>
        <v>0</v>
      </c>
      <c r="M50" s="113"/>
    </row>
    <row r="51" spans="1:13" ht="15" x14ac:dyDescent="0.2">
      <c r="A51" s="1" t="s">
        <v>6</v>
      </c>
      <c r="B51" s="6">
        <f>VLOOKUP($A$6,Year3[#All],4,FALSE)</f>
        <v>0</v>
      </c>
      <c r="C51" s="6">
        <f>VLOOKUP($A$6,Year3[#All],11,FALSE)</f>
        <v>9633</v>
      </c>
      <c r="D51" s="6">
        <f t="shared" si="6"/>
        <v>9633</v>
      </c>
      <c r="E51" s="2"/>
      <c r="F51" s="89"/>
      <c r="G51" s="52"/>
      <c r="H51" s="52"/>
      <c r="I51" s="52"/>
      <c r="J51" s="52"/>
      <c r="K51" s="91">
        <f t="shared" si="7"/>
        <v>0</v>
      </c>
      <c r="L51" s="91">
        <f t="shared" si="8"/>
        <v>0</v>
      </c>
      <c r="M51" s="113"/>
    </row>
    <row r="52" spans="1:13" ht="15" x14ac:dyDescent="0.2">
      <c r="A52" s="1" t="s">
        <v>5</v>
      </c>
      <c r="B52" s="6">
        <f>VLOOKUP($A$6,Year3[#All],5,FALSE)</f>
        <v>0</v>
      </c>
      <c r="C52" s="6">
        <f>VLOOKUP($A$6,Year3[#All],12,FALSE)</f>
        <v>397</v>
      </c>
      <c r="D52" s="6">
        <f t="shared" si="6"/>
        <v>397</v>
      </c>
      <c r="E52" s="2"/>
      <c r="F52" s="89"/>
      <c r="G52" s="52"/>
      <c r="H52" s="52"/>
      <c r="I52" s="52"/>
      <c r="J52" s="52"/>
      <c r="K52" s="91">
        <f t="shared" si="7"/>
        <v>0</v>
      </c>
      <c r="L52" s="91">
        <f t="shared" si="8"/>
        <v>0</v>
      </c>
      <c r="M52" s="113"/>
    </row>
    <row r="53" spans="1:13" ht="15" x14ac:dyDescent="0.2">
      <c r="A53" s="1" t="s">
        <v>4</v>
      </c>
      <c r="B53" s="6">
        <f>VLOOKUP($A$6,Year3[#All],6,FALSE)</f>
        <v>0</v>
      </c>
      <c r="C53" s="6">
        <f>VLOOKUP($A$6,Year3[#All],13,FALSE)</f>
        <v>4867</v>
      </c>
      <c r="D53" s="6">
        <f t="shared" si="6"/>
        <v>4867</v>
      </c>
      <c r="E53" s="2"/>
      <c r="F53" s="89"/>
      <c r="G53" s="52"/>
      <c r="H53" s="52"/>
      <c r="I53" s="52"/>
      <c r="J53" s="52"/>
      <c r="K53" s="91">
        <f t="shared" si="7"/>
        <v>0</v>
      </c>
      <c r="L53" s="91">
        <f t="shared" si="8"/>
        <v>0</v>
      </c>
      <c r="M53" s="113"/>
    </row>
    <row r="54" spans="1:13" ht="15" x14ac:dyDescent="0.2">
      <c r="A54" s="1" t="s">
        <v>3</v>
      </c>
      <c r="B54" s="6">
        <f>VLOOKUP($A$6,Year3[#All],7,FALSE)</f>
        <v>0</v>
      </c>
      <c r="C54" s="6">
        <f>VLOOKUP($A$6,Year3[#All],14,FALSE)</f>
        <v>7614</v>
      </c>
      <c r="D54" s="6">
        <f t="shared" si="6"/>
        <v>7614</v>
      </c>
      <c r="E54" s="2"/>
      <c r="F54" s="89"/>
      <c r="G54" s="52"/>
      <c r="H54" s="52"/>
      <c r="I54" s="52"/>
      <c r="J54" s="52"/>
      <c r="K54" s="91">
        <f t="shared" si="7"/>
        <v>0</v>
      </c>
      <c r="L54" s="91">
        <f t="shared" si="8"/>
        <v>0</v>
      </c>
      <c r="M54" s="113"/>
    </row>
    <row r="55" spans="1:13" ht="15" x14ac:dyDescent="0.2">
      <c r="A55" s="1" t="s">
        <v>2</v>
      </c>
      <c r="B55" s="6">
        <f>VLOOKUP($A$6,Year3[#All],8,FALSE)</f>
        <v>0</v>
      </c>
      <c r="C55" s="6">
        <f>VLOOKUP($A$6,Year3[#All],15,FALSE)</f>
        <v>2126</v>
      </c>
      <c r="D55" s="6">
        <f t="shared" si="6"/>
        <v>2126</v>
      </c>
      <c r="E55" s="2"/>
      <c r="F55" s="89"/>
      <c r="G55" s="52"/>
      <c r="H55" s="52"/>
      <c r="I55" s="52"/>
      <c r="J55" s="52"/>
      <c r="K55" s="91">
        <f t="shared" si="7"/>
        <v>0</v>
      </c>
      <c r="L55" s="91">
        <f t="shared" si="8"/>
        <v>0</v>
      </c>
      <c r="M55" s="113"/>
    </row>
    <row r="56" spans="1:13" ht="15" x14ac:dyDescent="0.2">
      <c r="A56" s="1" t="s">
        <v>1</v>
      </c>
      <c r="B56" s="6">
        <f>VLOOKUP($A$6,Year3[#All],9,FALSE)</f>
        <v>0</v>
      </c>
      <c r="C56" s="6">
        <f>VLOOKUP($A$6,Year3[#All],16,FALSE)</f>
        <v>0</v>
      </c>
      <c r="D56" s="6">
        <f t="shared" si="6"/>
        <v>0</v>
      </c>
      <c r="E56" s="2"/>
      <c r="F56" s="89"/>
      <c r="G56" s="52"/>
      <c r="H56" s="52"/>
      <c r="I56" s="52"/>
      <c r="J56" s="52"/>
      <c r="K56" s="91">
        <f t="shared" si="7"/>
        <v>0</v>
      </c>
      <c r="L56" s="91">
        <f t="shared" si="8"/>
        <v>0</v>
      </c>
      <c r="M56" s="113"/>
    </row>
    <row r="57" spans="1:13" ht="16" thickBot="1" x14ac:dyDescent="0.25">
      <c r="A57" s="5" t="s">
        <v>0</v>
      </c>
      <c r="B57" s="3">
        <f>SUM(B50:B56)</f>
        <v>0</v>
      </c>
      <c r="C57" s="3">
        <f>SUM(C50:C56)</f>
        <v>54487</v>
      </c>
      <c r="D57" s="4">
        <f>SUM(D50:D56)</f>
        <v>54487</v>
      </c>
      <c r="E57" s="2"/>
      <c r="F57" s="40">
        <f>SUM(F50:F56)</f>
        <v>0</v>
      </c>
      <c r="G57" s="40">
        <f>SUM(G50:G56)</f>
        <v>0</v>
      </c>
      <c r="H57" s="40">
        <f>SUM(H50:H56)</f>
        <v>0</v>
      </c>
      <c r="I57" s="40">
        <f>SUM(I50:I56)</f>
        <v>0</v>
      </c>
      <c r="J57" s="40">
        <f>SUM(J50:J56)</f>
        <v>0</v>
      </c>
      <c r="K57" s="40"/>
      <c r="L57" s="40">
        <f>SUM(L50:L56)</f>
        <v>0</v>
      </c>
      <c r="M57" s="113"/>
    </row>
    <row r="58" spans="1:13" customFormat="1" ht="17" thickTop="1" thickBot="1" x14ac:dyDescent="0.25">
      <c r="M58" s="113"/>
    </row>
    <row r="59" spans="1:13" customFormat="1" ht="165.5" customHeight="1" thickBot="1" x14ac:dyDescent="0.25">
      <c r="A59" s="109" t="s">
        <v>62</v>
      </c>
      <c r="B59" s="109"/>
      <c r="C59" s="109"/>
      <c r="D59" s="109"/>
      <c r="F59" s="110"/>
      <c r="G59" s="111"/>
      <c r="H59" s="111"/>
      <c r="I59" s="111"/>
      <c r="J59" s="111"/>
      <c r="K59" s="111"/>
      <c r="L59" s="112"/>
      <c r="M59" s="113"/>
    </row>
    <row r="60" spans="1:13" customFormat="1" ht="15" x14ac:dyDescent="0.2">
      <c r="A60" s="17"/>
      <c r="B60" s="17"/>
      <c r="C60" s="17"/>
      <c r="D60" s="17"/>
      <c r="F60" s="37"/>
      <c r="G60" s="37"/>
      <c r="H60" s="37"/>
      <c r="I60" s="37"/>
      <c r="J60" s="37"/>
      <c r="K60" s="37"/>
      <c r="L60" s="37"/>
      <c r="M60" s="113"/>
    </row>
    <row r="61" spans="1:13" customFormat="1" ht="15" x14ac:dyDescent="0.2">
      <c r="M61" s="113"/>
    </row>
    <row r="62" spans="1:13" s="7" customFormat="1" ht="20" thickBot="1" x14ac:dyDescent="0.3">
      <c r="A62" s="114" t="s">
        <v>92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20" t="s">
        <v>99</v>
      </c>
    </row>
    <row r="63" spans="1:13" ht="20" thickBot="1" x14ac:dyDescent="0.3">
      <c r="A63" s="67"/>
      <c r="B63" s="67"/>
      <c r="C63" s="68" t="s">
        <v>64</v>
      </c>
      <c r="D63" s="69">
        <f>VLOOKUP($A$6,ALLOCATIONS!$A$3:$G$12,7,FALSE)</f>
        <v>144409</v>
      </c>
      <c r="E63" s="70"/>
      <c r="F63" s="69">
        <f>D63-D73</f>
        <v>144409</v>
      </c>
      <c r="G63" s="71" t="s">
        <v>85</v>
      </c>
      <c r="H63" s="67"/>
      <c r="I63" s="67"/>
      <c r="J63" s="67"/>
      <c r="K63" s="67"/>
      <c r="L63" s="67"/>
      <c r="M63" s="120"/>
    </row>
    <row r="64" spans="1:13" s="10" customFormat="1" ht="18" thickTop="1" thickBot="1" x14ac:dyDescent="0.25">
      <c r="F64" s="115" t="s">
        <v>17</v>
      </c>
      <c r="G64" s="116"/>
      <c r="H64" s="116"/>
      <c r="I64" s="116"/>
      <c r="J64" s="116"/>
      <c r="K64" s="116"/>
      <c r="L64" s="116"/>
      <c r="M64" s="120"/>
    </row>
    <row r="65" spans="1:13" ht="46" thickTop="1" x14ac:dyDescent="0.2">
      <c r="A65" s="7"/>
      <c r="B65" s="8" t="s">
        <v>16</v>
      </c>
      <c r="C65" s="8" t="s">
        <v>15</v>
      </c>
      <c r="D65" s="8" t="s">
        <v>14</v>
      </c>
      <c r="E65" s="7"/>
      <c r="F65" s="90" t="s">
        <v>13</v>
      </c>
      <c r="G65" s="8" t="s">
        <v>12</v>
      </c>
      <c r="H65" s="8" t="s">
        <v>11</v>
      </c>
      <c r="I65" s="8" t="s">
        <v>10</v>
      </c>
      <c r="J65" s="8" t="s">
        <v>9</v>
      </c>
      <c r="K65" s="90" t="s">
        <v>19</v>
      </c>
      <c r="L65" s="90" t="s">
        <v>8</v>
      </c>
      <c r="M65" s="120"/>
    </row>
    <row r="66" spans="1:13" ht="15" x14ac:dyDescent="0.2">
      <c r="A66" s="1" t="s">
        <v>7</v>
      </c>
      <c r="B66" s="6">
        <v>0</v>
      </c>
      <c r="C66" s="6">
        <v>0</v>
      </c>
      <c r="D66" s="6">
        <f t="shared" ref="D66:D72" si="9">C66+B66</f>
        <v>0</v>
      </c>
      <c r="E66" s="2"/>
      <c r="F66" s="89"/>
      <c r="G66" s="52"/>
      <c r="H66" s="52"/>
      <c r="I66" s="52"/>
      <c r="J66" s="52"/>
      <c r="K66" s="91">
        <f t="shared" ref="K66:K72" si="10">G66+H66+I66+J66</f>
        <v>0</v>
      </c>
      <c r="L66" s="91">
        <f t="shared" ref="L66:L72" si="11">F66-K66</f>
        <v>0</v>
      </c>
      <c r="M66" s="120"/>
    </row>
    <row r="67" spans="1:13" ht="15" x14ac:dyDescent="0.2">
      <c r="A67" s="1" t="s">
        <v>6</v>
      </c>
      <c r="B67" s="6">
        <v>0</v>
      </c>
      <c r="C67" s="6">
        <v>0</v>
      </c>
      <c r="D67" s="6">
        <f t="shared" si="9"/>
        <v>0</v>
      </c>
      <c r="E67" s="2"/>
      <c r="F67" s="89"/>
      <c r="G67" s="52"/>
      <c r="H67" s="52"/>
      <c r="I67" s="52"/>
      <c r="J67" s="52"/>
      <c r="K67" s="91">
        <f t="shared" si="10"/>
        <v>0</v>
      </c>
      <c r="L67" s="91">
        <f t="shared" si="11"/>
        <v>0</v>
      </c>
      <c r="M67" s="120"/>
    </row>
    <row r="68" spans="1:13" ht="15" x14ac:dyDescent="0.2">
      <c r="A68" s="1" t="s">
        <v>5</v>
      </c>
      <c r="B68" s="6">
        <v>0</v>
      </c>
      <c r="C68" s="6">
        <v>0</v>
      </c>
      <c r="D68" s="6">
        <f t="shared" si="9"/>
        <v>0</v>
      </c>
      <c r="E68" s="2"/>
      <c r="F68" s="89"/>
      <c r="G68" s="52"/>
      <c r="H68" s="52"/>
      <c r="I68" s="52"/>
      <c r="J68" s="52"/>
      <c r="K68" s="91">
        <f t="shared" si="10"/>
        <v>0</v>
      </c>
      <c r="L68" s="91">
        <f t="shared" si="11"/>
        <v>0</v>
      </c>
      <c r="M68" s="120"/>
    </row>
    <row r="69" spans="1:13" ht="15" x14ac:dyDescent="0.2">
      <c r="A69" s="1" t="s">
        <v>4</v>
      </c>
      <c r="B69" s="6">
        <v>0</v>
      </c>
      <c r="C69" s="6">
        <v>0</v>
      </c>
      <c r="D69" s="6">
        <f t="shared" si="9"/>
        <v>0</v>
      </c>
      <c r="E69" s="2"/>
      <c r="F69" s="89"/>
      <c r="G69" s="52"/>
      <c r="H69" s="52"/>
      <c r="I69" s="52"/>
      <c r="J69" s="52"/>
      <c r="K69" s="91">
        <f t="shared" si="10"/>
        <v>0</v>
      </c>
      <c r="L69" s="91">
        <f t="shared" si="11"/>
        <v>0</v>
      </c>
      <c r="M69" s="120"/>
    </row>
    <row r="70" spans="1:13" ht="15" x14ac:dyDescent="0.2">
      <c r="A70" s="1" t="s">
        <v>3</v>
      </c>
      <c r="B70" s="6">
        <v>0</v>
      </c>
      <c r="C70" s="6">
        <v>0</v>
      </c>
      <c r="D70" s="6">
        <f t="shared" si="9"/>
        <v>0</v>
      </c>
      <c r="E70" s="2"/>
      <c r="F70" s="89"/>
      <c r="G70" s="52"/>
      <c r="H70" s="52"/>
      <c r="I70" s="52"/>
      <c r="J70" s="52"/>
      <c r="K70" s="91">
        <f t="shared" si="10"/>
        <v>0</v>
      </c>
      <c r="L70" s="91">
        <f t="shared" si="11"/>
        <v>0</v>
      </c>
      <c r="M70" s="120"/>
    </row>
    <row r="71" spans="1:13" ht="15" x14ac:dyDescent="0.2">
      <c r="A71" s="1" t="s">
        <v>2</v>
      </c>
      <c r="B71" s="6">
        <v>0</v>
      </c>
      <c r="C71" s="6">
        <v>0</v>
      </c>
      <c r="D71" s="6">
        <f t="shared" si="9"/>
        <v>0</v>
      </c>
      <c r="E71" s="2"/>
      <c r="F71" s="89"/>
      <c r="G71" s="52"/>
      <c r="H71" s="52"/>
      <c r="I71" s="52"/>
      <c r="J71" s="52"/>
      <c r="K71" s="91">
        <f t="shared" si="10"/>
        <v>0</v>
      </c>
      <c r="L71" s="91">
        <f t="shared" si="11"/>
        <v>0</v>
      </c>
      <c r="M71" s="120"/>
    </row>
    <row r="72" spans="1:13" ht="15" x14ac:dyDescent="0.2">
      <c r="A72" s="1" t="s">
        <v>1</v>
      </c>
      <c r="B72" s="6">
        <v>0</v>
      </c>
      <c r="C72" s="6">
        <v>0</v>
      </c>
      <c r="D72" s="6">
        <f t="shared" si="9"/>
        <v>0</v>
      </c>
      <c r="E72" s="2"/>
      <c r="F72" s="89"/>
      <c r="G72" s="52"/>
      <c r="H72" s="52"/>
      <c r="I72" s="52"/>
      <c r="J72" s="52"/>
      <c r="K72" s="91">
        <f t="shared" si="10"/>
        <v>0</v>
      </c>
      <c r="L72" s="91">
        <f t="shared" si="11"/>
        <v>0</v>
      </c>
      <c r="M72" s="120"/>
    </row>
    <row r="73" spans="1:13" ht="16" thickBot="1" x14ac:dyDescent="0.25">
      <c r="A73" s="5" t="s">
        <v>0</v>
      </c>
      <c r="B73" s="3">
        <f>SUM(B66:B72)</f>
        <v>0</v>
      </c>
      <c r="C73" s="3">
        <f>SUM(C66:C72)</f>
        <v>0</v>
      </c>
      <c r="D73" s="4">
        <f>SUM(D66:D72)</f>
        <v>0</v>
      </c>
      <c r="E73" s="2"/>
      <c r="F73" s="40">
        <f>SUM(F66:F72)</f>
        <v>0</v>
      </c>
      <c r="G73" s="40">
        <f>SUM(G66:G72)</f>
        <v>0</v>
      </c>
      <c r="H73" s="40">
        <f>SUM(H66:H72)</f>
        <v>0</v>
      </c>
      <c r="I73" s="40">
        <f>SUM(I66:I72)</f>
        <v>0</v>
      </c>
      <c r="J73" s="40">
        <f>SUM(J66:J72)</f>
        <v>0</v>
      </c>
      <c r="K73" s="40"/>
      <c r="L73" s="40">
        <f>SUM(L66:L72)</f>
        <v>0</v>
      </c>
      <c r="M73" s="120"/>
    </row>
    <row r="74" spans="1:13" customFormat="1" ht="17" thickTop="1" thickBot="1" x14ac:dyDescent="0.25">
      <c r="M74" s="120"/>
    </row>
    <row r="75" spans="1:13" customFormat="1" ht="165.5" customHeight="1" thickBot="1" x14ac:dyDescent="0.25">
      <c r="A75" s="109" t="s">
        <v>62</v>
      </c>
      <c r="B75" s="109"/>
      <c r="C75" s="109"/>
      <c r="D75" s="109"/>
      <c r="F75" s="110"/>
      <c r="G75" s="111"/>
      <c r="H75" s="111"/>
      <c r="I75" s="111"/>
      <c r="J75" s="111"/>
      <c r="K75" s="111"/>
      <c r="L75" s="112"/>
      <c r="M75" s="120"/>
    </row>
    <row r="76" spans="1:13" customFormat="1" ht="15" x14ac:dyDescent="0.2">
      <c r="M76" s="120"/>
    </row>
    <row r="77" spans="1:13" x14ac:dyDescent="0.2">
      <c r="M77" s="120"/>
    </row>
    <row r="78" spans="1:13" ht="15" thickBot="1" x14ac:dyDescent="0.25"/>
    <row r="79" spans="1:13" s="70" customFormat="1" ht="20" thickBot="1" x14ac:dyDescent="0.3">
      <c r="A79" s="85" t="s">
        <v>84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7"/>
      <c r="M79" s="74"/>
    </row>
    <row r="80" spans="1:13" s="10" customFormat="1" ht="16" x14ac:dyDescent="0.2">
      <c r="A80" s="75" t="s">
        <v>100</v>
      </c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7"/>
      <c r="M80" s="78"/>
    </row>
    <row r="81" spans="1:13" s="10" customFormat="1" ht="16" x14ac:dyDescent="0.2">
      <c r="A81" s="75" t="s">
        <v>81</v>
      </c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7"/>
      <c r="M81" s="78"/>
    </row>
    <row r="82" spans="1:13" s="10" customFormat="1" ht="16" x14ac:dyDescent="0.2">
      <c r="A82" s="75" t="s">
        <v>82</v>
      </c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7"/>
      <c r="M82" s="78"/>
    </row>
    <row r="83" spans="1:13" s="10" customFormat="1" ht="16" x14ac:dyDescent="0.2">
      <c r="A83" s="79" t="s">
        <v>101</v>
      </c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7"/>
      <c r="M83" s="78"/>
    </row>
    <row r="84" spans="1:13" s="10" customFormat="1" ht="16" x14ac:dyDescent="0.2">
      <c r="A84" s="79" t="s">
        <v>102</v>
      </c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7"/>
      <c r="M84" s="78"/>
    </row>
    <row r="85" spans="1:13" s="10" customFormat="1" ht="16" x14ac:dyDescent="0.2">
      <c r="A85" s="79" t="s">
        <v>103</v>
      </c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7"/>
      <c r="M85" s="78"/>
    </row>
    <row r="86" spans="1:13" s="10" customFormat="1" ht="16" x14ac:dyDescent="0.2">
      <c r="A86" s="79" t="s">
        <v>104</v>
      </c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7"/>
      <c r="M86" s="78"/>
    </row>
    <row r="87" spans="1:13" s="10" customFormat="1" ht="16" x14ac:dyDescent="0.2">
      <c r="A87" s="80" t="s">
        <v>83</v>
      </c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7"/>
      <c r="M87" s="78"/>
    </row>
    <row r="88" spans="1:13" s="10" customFormat="1" ht="17" thickBot="1" x14ac:dyDescent="0.25">
      <c r="A88" s="81" t="s">
        <v>80</v>
      </c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3"/>
      <c r="M88" s="78"/>
    </row>
  </sheetData>
  <sheetProtection sheet="1" objects="1" scenarios="1"/>
  <mergeCells count="25">
    <mergeCell ref="M62:M77"/>
    <mergeCell ref="M30:M45"/>
    <mergeCell ref="A75:D75"/>
    <mergeCell ref="F75:L75"/>
    <mergeCell ref="A30:L30"/>
    <mergeCell ref="A46:L46"/>
    <mergeCell ref="A62:L62"/>
    <mergeCell ref="F64:L64"/>
    <mergeCell ref="A59:D59"/>
    <mergeCell ref="F59:L59"/>
    <mergeCell ref="F32:L32"/>
    <mergeCell ref="F48:L48"/>
    <mergeCell ref="M46:M61"/>
    <mergeCell ref="M14:M29"/>
    <mergeCell ref="A14:L14"/>
    <mergeCell ref="F16:L16"/>
    <mergeCell ref="I5:L5"/>
    <mergeCell ref="C11:E11"/>
    <mergeCell ref="M1:M13"/>
    <mergeCell ref="C5:G9"/>
    <mergeCell ref="C12:E12"/>
    <mergeCell ref="A27:D27"/>
    <mergeCell ref="F27:L27"/>
    <mergeCell ref="A43:D43"/>
    <mergeCell ref="F43:L43"/>
  </mergeCells>
  <dataValidations count="2">
    <dataValidation type="list" allowBlank="1" showInputMessage="1" showErrorMessage="1" promptTitle="Reporting Period" prompt="Select quarter from drop down list" sqref="A9" xr:uid="{141BB5B6-C74C-4438-83E3-FD30EAF62506}">
      <formula1>$R$3:$R$7</formula1>
    </dataValidation>
    <dataValidation type="whole" allowBlank="1" showInputMessage="1" showErrorMessage="1" errorTitle="Cents Not Allowed" error="Enter your amount in whole dollars ONLY." promptTitle="Whole Numbers Only" prompt="Enter amounts in whole dollars ONLY." sqref="F18:J24 F34:J40 F50:J56 F66:J72" xr:uid="{4A9EAF95-E85E-4081-A734-3A6195C22375}">
      <formula1>0</formula1>
      <formula2>1000000</formula2>
    </dataValidation>
  </dataValidations>
  <printOptions horizontalCentered="1"/>
  <pageMargins left="0.25" right="0.25" top="0.5" bottom="0.5" header="0.3" footer="0.3"/>
  <pageSetup scale="80" fitToHeight="0" orientation="landscape" r:id="rId1"/>
  <headerFooter>
    <oddFooter>&amp;LPAGE &amp;P OF &amp;N; &amp;D</oddFooter>
  </headerFooter>
  <rowBreaks count="3" manualBreakCount="3">
    <brk id="29" max="16383" man="1"/>
    <brk id="45" max="16383" man="1"/>
    <brk id="6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college from drop list" prompt="Select college from drop list" xr:uid="{B9A334BA-2B20-49A0-8379-BFBEA43ED236}">
          <x14:formula1>
            <xm:f>ALLOCATIONS!$A$3:$A$12</xm:f>
          </x14:formula1>
          <xm:sqref>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86B99-0525-40CC-B38A-AE595B1A0679}">
  <sheetPr codeName="Sheet2"/>
  <dimension ref="A1:G14"/>
  <sheetViews>
    <sheetView workbookViewId="0">
      <selection sqref="A1:XFD1048576"/>
    </sheetView>
  </sheetViews>
  <sheetFormatPr baseColWidth="10" defaultColWidth="8.83203125" defaultRowHeight="15" x14ac:dyDescent="0.2"/>
  <cols>
    <col min="1" max="1" width="22.6640625" bestFit="1" customWidth="1"/>
    <col min="2" max="2" width="9.1640625" customWidth="1"/>
    <col min="4" max="6" width="14.33203125" customWidth="1"/>
    <col min="7" max="7" width="24.33203125" customWidth="1"/>
  </cols>
  <sheetData>
    <row r="1" spans="1:7" ht="19" x14ac:dyDescent="0.25">
      <c r="A1" s="124" t="s">
        <v>30</v>
      </c>
      <c r="B1" s="125"/>
      <c r="C1" s="125"/>
      <c r="D1" s="125"/>
      <c r="E1" s="125"/>
      <c r="F1" s="125"/>
      <c r="G1" s="126"/>
    </row>
    <row r="2" spans="1:7" ht="19" x14ac:dyDescent="0.25">
      <c r="A2" s="127" t="s">
        <v>31</v>
      </c>
      <c r="B2" s="128"/>
      <c r="C2" s="128"/>
      <c r="D2" s="128"/>
      <c r="E2" s="128"/>
      <c r="F2" s="128"/>
      <c r="G2" s="129"/>
    </row>
    <row r="3" spans="1:7" ht="64" x14ac:dyDescent="0.2">
      <c r="A3" s="57" t="s">
        <v>26</v>
      </c>
      <c r="B3" s="58" t="s">
        <v>32</v>
      </c>
      <c r="C3" s="58" t="s">
        <v>33</v>
      </c>
      <c r="D3" s="58" t="s">
        <v>34</v>
      </c>
      <c r="E3" s="58" t="s">
        <v>35</v>
      </c>
      <c r="F3" s="58" t="s">
        <v>95</v>
      </c>
      <c r="G3" s="59" t="s">
        <v>96</v>
      </c>
    </row>
    <row r="4" spans="1:7" x14ac:dyDescent="0.2">
      <c r="A4" s="53" t="s">
        <v>36</v>
      </c>
      <c r="B4" s="54">
        <v>3094</v>
      </c>
      <c r="C4" s="55">
        <v>13.5</v>
      </c>
      <c r="D4" s="56">
        <f>ROUND(144408.71,0)</f>
        <v>144409</v>
      </c>
      <c r="E4" s="56">
        <f>ROUND(72204.36,0)</f>
        <v>72204</v>
      </c>
      <c r="F4" s="56">
        <f t="shared" ref="F4:F11" si="0">ROUND((D4+E4),0)</f>
        <v>216613</v>
      </c>
      <c r="G4" s="56">
        <f>ROUND(144408.71,0)</f>
        <v>144409</v>
      </c>
    </row>
    <row r="5" spans="1:7" x14ac:dyDescent="0.2">
      <c r="A5" s="27" t="s">
        <v>37</v>
      </c>
      <c r="B5" s="28">
        <v>2998</v>
      </c>
      <c r="C5" s="29">
        <v>13.08</v>
      </c>
      <c r="D5" s="30">
        <f>ROUND(139928.03,0)</f>
        <v>139928</v>
      </c>
      <c r="E5" s="30">
        <f>ROUND(69964.02,0)</f>
        <v>69964</v>
      </c>
      <c r="F5" s="30">
        <f t="shared" si="0"/>
        <v>209892</v>
      </c>
      <c r="G5" s="30">
        <f>ROUND(139928.03,0)</f>
        <v>139928</v>
      </c>
    </row>
    <row r="6" spans="1:7" x14ac:dyDescent="0.2">
      <c r="A6" s="21" t="s">
        <v>38</v>
      </c>
      <c r="B6" s="22">
        <v>4594</v>
      </c>
      <c r="C6" s="23">
        <v>20.04</v>
      </c>
      <c r="D6" s="12">
        <f>ROUND(214419.4,0)</f>
        <v>214419</v>
      </c>
      <c r="E6" s="12">
        <f>ROUND(107209.7,0)</f>
        <v>107210</v>
      </c>
      <c r="F6" s="12">
        <f t="shared" si="0"/>
        <v>321629</v>
      </c>
      <c r="G6" s="12">
        <f>ROUND(214419.4,0)</f>
        <v>214419</v>
      </c>
    </row>
    <row r="7" spans="1:7" x14ac:dyDescent="0.2">
      <c r="A7" s="27" t="s">
        <v>39</v>
      </c>
      <c r="B7" s="28">
        <v>2753</v>
      </c>
      <c r="C7" s="29">
        <v>12.01</v>
      </c>
      <c r="D7" s="30">
        <f>ROUND(128492.95,0)</f>
        <v>128493</v>
      </c>
      <c r="E7" s="30">
        <f>ROUND(64246.48,0)</f>
        <v>64246</v>
      </c>
      <c r="F7" s="30">
        <f t="shared" si="0"/>
        <v>192739</v>
      </c>
      <c r="G7" s="30">
        <f>ROUND(128492.95,0)</f>
        <v>128493</v>
      </c>
    </row>
    <row r="8" spans="1:7" x14ac:dyDescent="0.2">
      <c r="A8" s="21" t="s">
        <v>40</v>
      </c>
      <c r="B8" s="22">
        <v>2290</v>
      </c>
      <c r="C8" s="23">
        <v>9.99</v>
      </c>
      <c r="D8" s="12">
        <f>ROUND(106882.99,0)</f>
        <v>106883</v>
      </c>
      <c r="E8" s="12">
        <f>ROUNDUP(53441.49,0)</f>
        <v>53442</v>
      </c>
      <c r="F8" s="12">
        <f t="shared" si="0"/>
        <v>160325</v>
      </c>
      <c r="G8" s="12">
        <f>ROUND(106882.99,0)</f>
        <v>106883</v>
      </c>
    </row>
    <row r="9" spans="1:7" x14ac:dyDescent="0.2">
      <c r="A9" s="27" t="s">
        <v>41</v>
      </c>
      <c r="B9" s="28">
        <v>1183</v>
      </c>
      <c r="C9" s="29">
        <v>5.16</v>
      </c>
      <c r="D9" s="30">
        <f>ROUND(55215.1,0)</f>
        <v>55215</v>
      </c>
      <c r="E9" s="30">
        <f>ROUND(27607.55,0)</f>
        <v>27608</v>
      </c>
      <c r="F9" s="30">
        <f t="shared" si="0"/>
        <v>82823</v>
      </c>
      <c r="G9" s="30">
        <f>ROUND(55215.1,0)</f>
        <v>55215</v>
      </c>
    </row>
    <row r="10" spans="1:7" x14ac:dyDescent="0.2">
      <c r="A10" s="21" t="s">
        <v>42</v>
      </c>
      <c r="B10" s="22">
        <v>4068</v>
      </c>
      <c r="C10" s="23">
        <v>17.75</v>
      </c>
      <c r="D10" s="12">
        <f>ROUND(189868.99,0)</f>
        <v>189869</v>
      </c>
      <c r="E10" s="12">
        <f>ROUND(94934.49,0)</f>
        <v>94934</v>
      </c>
      <c r="F10" s="12">
        <f t="shared" si="0"/>
        <v>284803</v>
      </c>
      <c r="G10" s="12">
        <f>ROUND(189868.99,0)</f>
        <v>189869</v>
      </c>
    </row>
    <row r="11" spans="1:7" x14ac:dyDescent="0.2">
      <c r="A11" s="27" t="s">
        <v>43</v>
      </c>
      <c r="B11" s="28">
        <v>1941</v>
      </c>
      <c r="C11" s="29">
        <v>8.4700000000000006</v>
      </c>
      <c r="D11" s="30">
        <f>ROUND(90593.83,0)</f>
        <v>90594</v>
      </c>
      <c r="E11" s="30">
        <f>ROUND(45296.92,0)</f>
        <v>45297</v>
      </c>
      <c r="F11" s="30">
        <f t="shared" si="0"/>
        <v>135891</v>
      </c>
      <c r="G11" s="30">
        <f>ROUND(90593.83,0)</f>
        <v>90594</v>
      </c>
    </row>
    <row r="12" spans="1:7" hidden="1" x14ac:dyDescent="0.2">
      <c r="A12" s="24" t="s">
        <v>45</v>
      </c>
      <c r="B12" s="25">
        <v>0</v>
      </c>
      <c r="C12" s="26">
        <v>0</v>
      </c>
      <c r="D12" s="13">
        <v>0</v>
      </c>
      <c r="E12" s="13">
        <v>0</v>
      </c>
      <c r="F12" s="13">
        <v>0</v>
      </c>
      <c r="G12" s="13">
        <v>0</v>
      </c>
    </row>
    <row r="13" spans="1:7" s="31" customFormat="1" ht="17" x14ac:dyDescent="0.2">
      <c r="A13" s="60" t="s">
        <v>0</v>
      </c>
      <c r="B13" s="61">
        <v>22921</v>
      </c>
      <c r="C13" s="62">
        <v>100</v>
      </c>
      <c r="D13" s="63">
        <f>SUM(D4:D11)</f>
        <v>1069810</v>
      </c>
      <c r="E13" s="63">
        <f>SUM(E4:E11)</f>
        <v>534905</v>
      </c>
      <c r="F13" s="63">
        <f>SUM(F4:F11)</f>
        <v>1604715</v>
      </c>
      <c r="G13" s="64">
        <f>SUM(G4:G11)</f>
        <v>1069810</v>
      </c>
    </row>
    <row r="14" spans="1:7" x14ac:dyDescent="0.2">
      <c r="A14" s="130" t="s">
        <v>44</v>
      </c>
      <c r="B14" s="130"/>
      <c r="C14" s="130"/>
      <c r="D14" s="130"/>
      <c r="E14" s="130"/>
      <c r="F14" s="130"/>
      <c r="G14" s="130"/>
    </row>
  </sheetData>
  <sheetProtection sheet="1" objects="1" scenarios="1" selectLockedCells="1" selectUnlockedCells="1"/>
  <mergeCells count="3">
    <mergeCell ref="A1:G1"/>
    <mergeCell ref="A2:G2"/>
    <mergeCell ref="A14:G14"/>
  </mergeCells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811E8-FB9F-42D3-821A-555C2357645E}">
  <sheetPr codeName="Sheet4"/>
  <dimension ref="A1:X33"/>
  <sheetViews>
    <sheetView topLeftCell="U1" workbookViewId="0">
      <selection activeCell="V1" sqref="V1"/>
    </sheetView>
  </sheetViews>
  <sheetFormatPr baseColWidth="10" defaultColWidth="8.83203125" defaultRowHeight="15" x14ac:dyDescent="0.2"/>
  <cols>
    <col min="1" max="1" width="21.33203125" bestFit="1" customWidth="1"/>
    <col min="2" max="2" width="13" customWidth="1"/>
    <col min="3" max="16" width="12.33203125" style="14" customWidth="1"/>
    <col min="17" max="17" width="4.1640625" customWidth="1"/>
    <col min="18" max="20" width="12.33203125" style="13" customWidth="1"/>
  </cols>
  <sheetData>
    <row r="1" spans="1:24" ht="57" customHeight="1" x14ac:dyDescent="0.25">
      <c r="A1" s="136" t="s">
        <v>105</v>
      </c>
      <c r="B1" s="136"/>
      <c r="C1" s="131" t="s">
        <v>16</v>
      </c>
      <c r="D1" s="131"/>
      <c r="E1" s="131"/>
      <c r="F1" s="131"/>
      <c r="G1" s="131"/>
      <c r="H1" s="131"/>
      <c r="I1" s="131"/>
      <c r="J1" s="132" t="s">
        <v>15</v>
      </c>
      <c r="K1" s="132"/>
      <c r="L1" s="132"/>
      <c r="M1" s="132"/>
      <c r="N1" s="132"/>
      <c r="O1" s="132"/>
      <c r="P1" s="132"/>
      <c r="R1" s="133" t="s">
        <v>106</v>
      </c>
      <c r="S1" s="134"/>
      <c r="T1" s="135"/>
      <c r="V1" s="104" t="s">
        <v>107</v>
      </c>
      <c r="W1" s="105"/>
      <c r="X1" s="105"/>
    </row>
    <row r="2" spans="1:24" ht="32" x14ac:dyDescent="0.2">
      <c r="A2" t="s">
        <v>26</v>
      </c>
      <c r="B2" s="103" t="s">
        <v>25</v>
      </c>
      <c r="C2" s="15" t="s">
        <v>50</v>
      </c>
      <c r="D2" s="15" t="s">
        <v>51</v>
      </c>
      <c r="E2" s="15" t="s">
        <v>52</v>
      </c>
      <c r="F2" s="15" t="s">
        <v>53</v>
      </c>
      <c r="G2" s="15" t="s">
        <v>54</v>
      </c>
      <c r="H2" s="15" t="s">
        <v>55</v>
      </c>
      <c r="I2" s="15" t="s">
        <v>56</v>
      </c>
      <c r="J2" s="15" t="s">
        <v>71</v>
      </c>
      <c r="K2" s="15" t="s">
        <v>72</v>
      </c>
      <c r="L2" s="15" t="s">
        <v>73</v>
      </c>
      <c r="M2" s="15" t="s">
        <v>74</v>
      </c>
      <c r="N2" s="15" t="s">
        <v>75</v>
      </c>
      <c r="O2" s="15" t="s">
        <v>76</v>
      </c>
      <c r="P2" s="15" t="s">
        <v>77</v>
      </c>
      <c r="R2" s="94" t="s">
        <v>16</v>
      </c>
      <c r="S2" s="95" t="s">
        <v>15</v>
      </c>
      <c r="T2" s="96" t="s">
        <v>86</v>
      </c>
    </row>
    <row r="3" spans="1:24" x14ac:dyDescent="0.2">
      <c r="A3" t="s">
        <v>36</v>
      </c>
      <c r="B3" t="s">
        <v>93</v>
      </c>
      <c r="C3" s="49">
        <v>0</v>
      </c>
      <c r="D3" s="49">
        <v>49083</v>
      </c>
      <c r="E3" s="49">
        <v>23615</v>
      </c>
      <c r="F3" s="49">
        <v>4816</v>
      </c>
      <c r="G3" s="49">
        <v>0</v>
      </c>
      <c r="H3" s="49">
        <v>0</v>
      </c>
      <c r="I3" s="49">
        <v>0</v>
      </c>
      <c r="J3" s="49">
        <v>6211</v>
      </c>
      <c r="K3" s="49">
        <v>26010</v>
      </c>
      <c r="L3" s="49">
        <v>17061</v>
      </c>
      <c r="M3" s="49">
        <v>3176</v>
      </c>
      <c r="N3" s="49">
        <v>48965</v>
      </c>
      <c r="O3" s="49">
        <v>37676</v>
      </c>
      <c r="P3" s="49">
        <v>0</v>
      </c>
      <c r="R3" s="92">
        <f>SUM(Year1[[#This Row],[1000]:[7000]])</f>
        <v>77514</v>
      </c>
      <c r="S3" s="12">
        <f>SUM(Year1[[#This Row],[OBJ-1000]:[OBJ-7000]])</f>
        <v>139099</v>
      </c>
      <c r="T3" s="93">
        <f>SUM(R3:S3)</f>
        <v>216613</v>
      </c>
    </row>
    <row r="4" spans="1:24" x14ac:dyDescent="0.2">
      <c r="A4" t="s">
        <v>37</v>
      </c>
      <c r="B4" t="s">
        <v>93</v>
      </c>
      <c r="C4" s="49">
        <v>0</v>
      </c>
      <c r="D4" s="49">
        <v>104</v>
      </c>
      <c r="E4" s="49">
        <v>34</v>
      </c>
      <c r="F4" s="49">
        <v>8489</v>
      </c>
      <c r="G4" s="49">
        <v>110170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402</v>
      </c>
      <c r="N4" s="49">
        <v>90693</v>
      </c>
      <c r="O4" s="49">
        <v>0</v>
      </c>
      <c r="P4" s="49">
        <v>0</v>
      </c>
      <c r="R4" s="92">
        <f>SUM(Year1[[#This Row],[1000]:[7000]])</f>
        <v>118797</v>
      </c>
      <c r="S4" s="12">
        <f>SUM(Year1[[#This Row],[OBJ-1000]:[OBJ-7000]])</f>
        <v>91095</v>
      </c>
      <c r="T4" s="93">
        <f t="shared" ref="T4:T11" si="0">SUM(R4:S4)</f>
        <v>209892</v>
      </c>
    </row>
    <row r="5" spans="1:24" x14ac:dyDescent="0.2">
      <c r="A5" t="s">
        <v>38</v>
      </c>
      <c r="B5" t="s">
        <v>93</v>
      </c>
      <c r="C5" s="49">
        <v>0</v>
      </c>
      <c r="D5" s="49">
        <v>211406</v>
      </c>
      <c r="E5" s="49">
        <v>89506</v>
      </c>
      <c r="F5" s="49">
        <v>0</v>
      </c>
      <c r="G5" s="49">
        <v>20717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R5" s="92">
        <f>SUM(Year1[[#This Row],[1000]:[7000]])</f>
        <v>321629</v>
      </c>
      <c r="S5" s="12">
        <f>SUM(Year1[[#This Row],[OBJ-1000]:[OBJ-7000]])</f>
        <v>0</v>
      </c>
      <c r="T5" s="93">
        <f t="shared" si="0"/>
        <v>321629</v>
      </c>
    </row>
    <row r="6" spans="1:24" x14ac:dyDescent="0.2">
      <c r="A6" t="s">
        <v>39</v>
      </c>
      <c r="B6" t="s">
        <v>93</v>
      </c>
      <c r="C6" s="49">
        <v>93228</v>
      </c>
      <c r="D6" s="49">
        <v>13934</v>
      </c>
      <c r="E6" s="49">
        <v>34115</v>
      </c>
      <c r="F6" s="49">
        <v>0</v>
      </c>
      <c r="G6" s="49">
        <v>51462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R6" s="92">
        <f>SUM(Year1[[#This Row],[1000]:[7000]])</f>
        <v>192739</v>
      </c>
      <c r="S6" s="12">
        <f>SUM(Year1[[#This Row],[OBJ-1000]:[OBJ-7000]])</f>
        <v>0</v>
      </c>
      <c r="T6" s="93">
        <f t="shared" si="0"/>
        <v>192739</v>
      </c>
    </row>
    <row r="7" spans="1:24" x14ac:dyDescent="0.2">
      <c r="A7" t="s">
        <v>40</v>
      </c>
      <c r="B7" t="s">
        <v>93</v>
      </c>
      <c r="C7" s="49">
        <v>0</v>
      </c>
      <c r="D7" s="49">
        <v>108078</v>
      </c>
      <c r="E7" s="49">
        <v>52039</v>
      </c>
      <c r="F7" s="49">
        <v>208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R7" s="92">
        <f>SUM(Year1[[#This Row],[1000]:[7000]])</f>
        <v>160325</v>
      </c>
      <c r="S7" s="12">
        <f>SUM(Year1[[#This Row],[OBJ-1000]:[OBJ-7000]])</f>
        <v>0</v>
      </c>
      <c r="T7" s="93">
        <f t="shared" si="0"/>
        <v>160325</v>
      </c>
    </row>
    <row r="8" spans="1:24" x14ac:dyDescent="0.2">
      <c r="A8" t="s">
        <v>41</v>
      </c>
      <c r="B8" t="s">
        <v>93</v>
      </c>
      <c r="C8" s="49">
        <v>0</v>
      </c>
      <c r="D8" s="49">
        <v>11460</v>
      </c>
      <c r="E8" s="49">
        <v>996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6016</v>
      </c>
      <c r="L8" s="49">
        <v>3208</v>
      </c>
      <c r="M8" s="49">
        <v>0</v>
      </c>
      <c r="N8" s="49">
        <v>0</v>
      </c>
      <c r="O8" s="49">
        <v>0</v>
      </c>
      <c r="P8" s="49">
        <v>0</v>
      </c>
      <c r="R8" s="92">
        <f>SUM(Year1[[#This Row],[1000]:[7000]])</f>
        <v>12456</v>
      </c>
      <c r="S8" s="12">
        <f>SUM(Year1[[#This Row],[OBJ-1000]:[OBJ-7000]])</f>
        <v>9224</v>
      </c>
      <c r="T8" s="93">
        <f t="shared" si="0"/>
        <v>21680</v>
      </c>
    </row>
    <row r="9" spans="1:24" x14ac:dyDescent="0.2">
      <c r="A9" t="s">
        <v>42</v>
      </c>
      <c r="B9" t="s">
        <v>93</v>
      </c>
      <c r="C9" s="49">
        <v>146876</v>
      </c>
      <c r="D9" s="49">
        <v>27620</v>
      </c>
      <c r="E9" s="49">
        <v>47250</v>
      </c>
      <c r="F9" s="49">
        <v>13155</v>
      </c>
      <c r="G9" s="49">
        <v>12811</v>
      </c>
      <c r="H9" s="49">
        <v>1400</v>
      </c>
      <c r="I9" s="49">
        <v>0</v>
      </c>
      <c r="J9" s="49">
        <v>24497</v>
      </c>
      <c r="K9" s="49">
        <v>0</v>
      </c>
      <c r="L9" s="49">
        <v>9527</v>
      </c>
      <c r="M9" s="49">
        <v>70</v>
      </c>
      <c r="N9" s="49">
        <v>1242</v>
      </c>
      <c r="O9" s="49">
        <v>355</v>
      </c>
      <c r="P9" s="49">
        <v>0</v>
      </c>
      <c r="R9" s="92">
        <f>SUM(Year1[[#This Row],[1000]:[7000]])</f>
        <v>249112</v>
      </c>
      <c r="S9" s="12">
        <f>SUM(Year1[[#This Row],[OBJ-1000]:[OBJ-7000]])</f>
        <v>35691</v>
      </c>
      <c r="T9" s="93">
        <f t="shared" si="0"/>
        <v>284803</v>
      </c>
    </row>
    <row r="10" spans="1:24" x14ac:dyDescent="0.2">
      <c r="A10" t="s">
        <v>43</v>
      </c>
      <c r="B10" t="s">
        <v>93</v>
      </c>
      <c r="C10" s="49">
        <v>21894</v>
      </c>
      <c r="D10" s="49">
        <v>84094</v>
      </c>
      <c r="E10" s="49">
        <v>19197</v>
      </c>
      <c r="F10" s="49">
        <v>0</v>
      </c>
      <c r="G10" s="49">
        <v>94</v>
      </c>
      <c r="H10" s="49">
        <v>0</v>
      </c>
      <c r="I10" s="49">
        <v>0</v>
      </c>
      <c r="J10" s="49">
        <v>0</v>
      </c>
      <c r="K10" s="49">
        <v>10165</v>
      </c>
      <c r="L10" s="49">
        <v>447</v>
      </c>
      <c r="M10" s="49">
        <v>0</v>
      </c>
      <c r="N10" s="49">
        <v>0</v>
      </c>
      <c r="O10" s="49">
        <v>0</v>
      </c>
      <c r="P10" s="49">
        <v>0</v>
      </c>
      <c r="R10" s="97">
        <f>SUM(Year1[[#This Row],[1000]:[7000]])</f>
        <v>125279</v>
      </c>
      <c r="S10" s="98">
        <f>SUM(Year1[[#This Row],[OBJ-1000]:[OBJ-7000]])</f>
        <v>10612</v>
      </c>
      <c r="T10" s="99">
        <f t="shared" si="0"/>
        <v>135891</v>
      </c>
    </row>
    <row r="11" spans="1:24" hidden="1" x14ac:dyDescent="0.2">
      <c r="A11" t="s">
        <v>45</v>
      </c>
      <c r="B11" t="s">
        <v>46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R11" s="13">
        <f>SUM(Year1[[#This Row],[1000]:[7000]])</f>
        <v>0</v>
      </c>
      <c r="S11" s="13">
        <f>SUM(Year1[[#This Row],[OBJ-1000]:[OBJ-7000]])</f>
        <v>0</v>
      </c>
      <c r="T11" s="13">
        <f t="shared" si="0"/>
        <v>0</v>
      </c>
    </row>
    <row r="13" spans="1:24" ht="32" x14ac:dyDescent="0.2">
      <c r="A13" t="s">
        <v>26</v>
      </c>
      <c r="B13" t="s">
        <v>49</v>
      </c>
      <c r="C13" s="15" t="s">
        <v>50</v>
      </c>
      <c r="D13" s="15" t="s">
        <v>51</v>
      </c>
      <c r="E13" s="15" t="s">
        <v>52</v>
      </c>
      <c r="F13" s="15" t="s">
        <v>53</v>
      </c>
      <c r="G13" s="15" t="s">
        <v>54</v>
      </c>
      <c r="H13" s="15" t="s">
        <v>55</v>
      </c>
      <c r="I13" s="15" t="s">
        <v>56</v>
      </c>
      <c r="J13" s="15" t="s">
        <v>71</v>
      </c>
      <c r="K13" s="15" t="s">
        <v>72</v>
      </c>
      <c r="L13" s="15" t="s">
        <v>73</v>
      </c>
      <c r="M13" s="15" t="s">
        <v>74</v>
      </c>
      <c r="N13" s="15" t="s">
        <v>75</v>
      </c>
      <c r="O13" s="15" t="s">
        <v>76</v>
      </c>
      <c r="P13" s="15" t="s">
        <v>77</v>
      </c>
      <c r="R13" s="100" t="s">
        <v>16</v>
      </c>
      <c r="S13" s="101" t="s">
        <v>15</v>
      </c>
      <c r="T13" s="102" t="s">
        <v>86</v>
      </c>
    </row>
    <row r="14" spans="1:24" x14ac:dyDescent="0.2">
      <c r="A14" t="s">
        <v>36</v>
      </c>
      <c r="B14" t="s">
        <v>47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21784</v>
      </c>
      <c r="K14" s="49">
        <v>45265</v>
      </c>
      <c r="L14" s="49">
        <v>23918</v>
      </c>
      <c r="M14" s="49">
        <v>29330</v>
      </c>
      <c r="N14" s="49">
        <v>24112</v>
      </c>
      <c r="O14" s="49">
        <v>0</v>
      </c>
      <c r="P14" s="49">
        <v>0</v>
      </c>
      <c r="R14" s="92">
        <f>SUM(Year2[[#This Row],[1000]:[7000]])</f>
        <v>0</v>
      </c>
      <c r="S14" s="12">
        <f>SUM(Year2[[#This Row],[OBJ-1000]:[OBJ-7000]])</f>
        <v>144409</v>
      </c>
      <c r="T14" s="93">
        <f>SUM(R14:S14)</f>
        <v>144409</v>
      </c>
    </row>
    <row r="15" spans="1:24" x14ac:dyDescent="0.2">
      <c r="A15" t="s">
        <v>37</v>
      </c>
      <c r="B15" t="s">
        <v>47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7821</v>
      </c>
      <c r="L15" s="49">
        <v>108</v>
      </c>
      <c r="M15" s="49">
        <v>947</v>
      </c>
      <c r="N15" s="49">
        <v>67269</v>
      </c>
      <c r="O15" s="49">
        <v>0</v>
      </c>
      <c r="P15" s="49">
        <v>0</v>
      </c>
      <c r="R15" s="92">
        <f>SUM(Year2[[#This Row],[1000]:[7000]])</f>
        <v>0</v>
      </c>
      <c r="S15" s="12">
        <f>SUM(Year2[[#This Row],[OBJ-1000]:[OBJ-7000]])</f>
        <v>76145</v>
      </c>
      <c r="T15" s="93">
        <f t="shared" ref="T15:T21" si="1">SUM(R15:S15)</f>
        <v>76145</v>
      </c>
    </row>
    <row r="16" spans="1:24" x14ac:dyDescent="0.2">
      <c r="A16" t="s">
        <v>38</v>
      </c>
      <c r="B16" t="s">
        <v>47</v>
      </c>
      <c r="C16" s="49">
        <v>0</v>
      </c>
      <c r="D16" s="49">
        <v>68880</v>
      </c>
      <c r="E16" s="49">
        <v>28074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23598</v>
      </c>
      <c r="L16" s="49">
        <v>831</v>
      </c>
      <c r="M16" s="49">
        <v>0</v>
      </c>
      <c r="N16" s="49">
        <v>4166</v>
      </c>
      <c r="O16" s="49">
        <v>0</v>
      </c>
      <c r="P16" s="49">
        <v>0</v>
      </c>
      <c r="R16" s="92">
        <f>SUM(Year2[[#This Row],[1000]:[7000]])</f>
        <v>96954</v>
      </c>
      <c r="S16" s="12">
        <f>SUM(Year2[[#This Row],[OBJ-1000]:[OBJ-7000]])</f>
        <v>28595</v>
      </c>
      <c r="T16" s="93">
        <f t="shared" si="1"/>
        <v>125549</v>
      </c>
    </row>
    <row r="17" spans="1:20" x14ac:dyDescent="0.2">
      <c r="A17" t="s">
        <v>39</v>
      </c>
      <c r="B17" t="s">
        <v>47</v>
      </c>
      <c r="C17" s="49">
        <v>58975</v>
      </c>
      <c r="D17" s="49">
        <v>5745</v>
      </c>
      <c r="E17" s="49">
        <v>20851</v>
      </c>
      <c r="F17" s="49">
        <v>0</v>
      </c>
      <c r="G17" s="49">
        <v>298</v>
      </c>
      <c r="H17" s="49">
        <v>0</v>
      </c>
      <c r="I17" s="49">
        <v>0</v>
      </c>
      <c r="J17" s="49">
        <v>16838</v>
      </c>
      <c r="K17" s="49">
        <v>3157</v>
      </c>
      <c r="L17" s="49">
        <v>6581</v>
      </c>
      <c r="M17" s="49">
        <v>0</v>
      </c>
      <c r="N17" s="49">
        <v>16048</v>
      </c>
      <c r="O17" s="49">
        <v>0</v>
      </c>
      <c r="P17" s="49">
        <v>0</v>
      </c>
      <c r="R17" s="92">
        <f>SUM(Year2[[#This Row],[1000]:[7000]])</f>
        <v>85869</v>
      </c>
      <c r="S17" s="12">
        <f>SUM(Year2[[#This Row],[OBJ-1000]:[OBJ-7000]])</f>
        <v>42624</v>
      </c>
      <c r="T17" s="93">
        <f t="shared" si="1"/>
        <v>128493</v>
      </c>
    </row>
    <row r="18" spans="1:20" x14ac:dyDescent="0.2">
      <c r="A18" t="s">
        <v>40</v>
      </c>
      <c r="B18" t="s">
        <v>47</v>
      </c>
      <c r="C18" s="49">
        <v>0</v>
      </c>
      <c r="D18" s="49">
        <v>24863</v>
      </c>
      <c r="E18" s="49">
        <v>11878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35018</v>
      </c>
      <c r="L18" s="49">
        <v>15098</v>
      </c>
      <c r="M18" s="49">
        <v>0</v>
      </c>
      <c r="N18" s="49">
        <v>0</v>
      </c>
      <c r="O18" s="49">
        <v>0</v>
      </c>
      <c r="P18" s="49">
        <v>0</v>
      </c>
      <c r="R18" s="92">
        <f>SUM(Year2[[#This Row],[1000]:[7000]])</f>
        <v>36741</v>
      </c>
      <c r="S18" s="12">
        <f>SUM(Year2[[#This Row],[OBJ-1000]:[OBJ-7000]])</f>
        <v>50116</v>
      </c>
      <c r="T18" s="93">
        <f t="shared" si="1"/>
        <v>86857</v>
      </c>
    </row>
    <row r="19" spans="1:20" x14ac:dyDescent="0.2">
      <c r="A19" t="s">
        <v>41</v>
      </c>
      <c r="B19" t="s">
        <v>47</v>
      </c>
      <c r="C19" s="49">
        <v>0</v>
      </c>
      <c r="D19" s="49">
        <v>0</v>
      </c>
      <c r="E19" s="49">
        <v>0</v>
      </c>
      <c r="F19" s="49">
        <v>6842</v>
      </c>
      <c r="G19" s="49">
        <v>0</v>
      </c>
      <c r="H19" s="49">
        <v>0</v>
      </c>
      <c r="I19" s="49">
        <v>0</v>
      </c>
      <c r="J19" s="49">
        <v>0</v>
      </c>
      <c r="K19" s="49">
        <v>11781</v>
      </c>
      <c r="L19" s="49">
        <v>1131</v>
      </c>
      <c r="M19" s="49">
        <v>5400</v>
      </c>
      <c r="N19" s="49">
        <v>0</v>
      </c>
      <c r="O19" s="49">
        <v>0</v>
      </c>
      <c r="P19" s="49">
        <v>0</v>
      </c>
      <c r="R19" s="92">
        <f>SUM(Year2[[#This Row],[1000]:[7000]])</f>
        <v>6842</v>
      </c>
      <c r="S19" s="12">
        <f>SUM(Year2[[#This Row],[OBJ-1000]:[OBJ-7000]])</f>
        <v>18312</v>
      </c>
      <c r="T19" s="93">
        <f t="shared" si="1"/>
        <v>25154</v>
      </c>
    </row>
    <row r="20" spans="1:20" x14ac:dyDescent="0.2">
      <c r="A20" t="s">
        <v>42</v>
      </c>
      <c r="B20" t="s">
        <v>47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94862</v>
      </c>
      <c r="K20" s="49">
        <v>0</v>
      </c>
      <c r="L20" s="49">
        <v>43383</v>
      </c>
      <c r="M20" s="49">
        <v>7946</v>
      </c>
      <c r="N20" s="49">
        <v>3204</v>
      </c>
      <c r="O20" s="49">
        <v>0</v>
      </c>
      <c r="P20" s="49">
        <v>0</v>
      </c>
      <c r="R20" s="92">
        <f>SUM(Year2[[#This Row],[1000]:[7000]])</f>
        <v>0</v>
      </c>
      <c r="S20" s="12">
        <f>SUM(Year2[[#This Row],[OBJ-1000]:[OBJ-7000]])</f>
        <v>149395</v>
      </c>
      <c r="T20" s="93">
        <f t="shared" si="1"/>
        <v>149395</v>
      </c>
    </row>
    <row r="21" spans="1:20" x14ac:dyDescent="0.2">
      <c r="A21" t="s">
        <v>43</v>
      </c>
      <c r="B21" t="s">
        <v>47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50629</v>
      </c>
      <c r="L21" s="49">
        <v>25103</v>
      </c>
      <c r="M21" s="49">
        <v>0</v>
      </c>
      <c r="N21" s="49">
        <v>0</v>
      </c>
      <c r="O21" s="49">
        <v>0</v>
      </c>
      <c r="P21" s="49">
        <v>0</v>
      </c>
      <c r="R21" s="97">
        <f>SUM(Year2[[#This Row],[1000]:[7000]])</f>
        <v>0</v>
      </c>
      <c r="S21" s="98">
        <f>SUM(Year2[[#This Row],[OBJ-1000]:[OBJ-7000]])</f>
        <v>75732</v>
      </c>
      <c r="T21" s="99">
        <f t="shared" si="1"/>
        <v>75732</v>
      </c>
    </row>
    <row r="22" spans="1:20" hidden="1" x14ac:dyDescent="0.2">
      <c r="A22" t="s">
        <v>45</v>
      </c>
      <c r="B22" t="s">
        <v>48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4" spans="1:20" ht="32" x14ac:dyDescent="0.2">
      <c r="A24" t="s">
        <v>26</v>
      </c>
      <c r="B24" t="s">
        <v>49</v>
      </c>
      <c r="C24" s="15" t="s">
        <v>50</v>
      </c>
      <c r="D24" s="15" t="s">
        <v>51</v>
      </c>
      <c r="E24" s="15" t="s">
        <v>52</v>
      </c>
      <c r="F24" s="15" t="s">
        <v>53</v>
      </c>
      <c r="G24" s="15" t="s">
        <v>54</v>
      </c>
      <c r="H24" s="15" t="s">
        <v>55</v>
      </c>
      <c r="I24" s="15" t="s">
        <v>56</v>
      </c>
      <c r="J24" s="15" t="s">
        <v>71</v>
      </c>
      <c r="K24" s="15" t="s">
        <v>72</v>
      </c>
      <c r="L24" s="15" t="s">
        <v>73</v>
      </c>
      <c r="M24" s="15" t="s">
        <v>74</v>
      </c>
      <c r="N24" s="15" t="s">
        <v>75</v>
      </c>
      <c r="O24" s="15" t="s">
        <v>76</v>
      </c>
      <c r="P24" s="15" t="s">
        <v>77</v>
      </c>
      <c r="R24" s="100" t="s">
        <v>16</v>
      </c>
      <c r="S24" s="101" t="s">
        <v>15</v>
      </c>
      <c r="T24" s="102" t="s">
        <v>86</v>
      </c>
    </row>
    <row r="25" spans="1:20" x14ac:dyDescent="0.2">
      <c r="A25" t="s">
        <v>36</v>
      </c>
      <c r="B25" t="s">
        <v>94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29850</v>
      </c>
      <c r="K25" s="49">
        <v>9633</v>
      </c>
      <c r="L25" s="49">
        <v>397</v>
      </c>
      <c r="M25" s="49">
        <v>4867</v>
      </c>
      <c r="N25" s="49">
        <v>7614</v>
      </c>
      <c r="O25" s="49">
        <v>2126</v>
      </c>
      <c r="P25" s="49">
        <v>0</v>
      </c>
      <c r="R25" s="92">
        <f>SUM(Year3[[#This Row],[1000]:[7000]])</f>
        <v>0</v>
      </c>
      <c r="S25" s="12">
        <f>SUM(Year3[[#This Row],[OBJ-1000]:[OBJ-7000]])</f>
        <v>54487</v>
      </c>
      <c r="T25" s="93">
        <f>SUM(R25:S25)</f>
        <v>54487</v>
      </c>
    </row>
    <row r="26" spans="1:20" x14ac:dyDescent="0.2">
      <c r="A26" t="s">
        <v>37</v>
      </c>
      <c r="B26" t="s">
        <v>94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R26" s="92">
        <f>SUM(Year3[[#This Row],[1000]:[7000]])</f>
        <v>0</v>
      </c>
      <c r="S26" s="12">
        <f>SUM(Year3[[#This Row],[OBJ-1000]:[OBJ-7000]])</f>
        <v>0</v>
      </c>
      <c r="T26" s="93">
        <f t="shared" ref="T26:T32" si="2">SUM(R26:S26)</f>
        <v>0</v>
      </c>
    </row>
    <row r="27" spans="1:20" x14ac:dyDescent="0.2">
      <c r="A27" t="s">
        <v>38</v>
      </c>
      <c r="B27" t="s">
        <v>94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R27" s="92">
        <f>SUM(Year3[[#This Row],[1000]:[7000]])</f>
        <v>0</v>
      </c>
      <c r="S27" s="12">
        <f>SUM(Year3[[#This Row],[OBJ-1000]:[OBJ-7000]])</f>
        <v>0</v>
      </c>
      <c r="T27" s="93">
        <f t="shared" si="2"/>
        <v>0</v>
      </c>
    </row>
    <row r="28" spans="1:20" x14ac:dyDescent="0.2">
      <c r="A28" t="s">
        <v>39</v>
      </c>
      <c r="B28" t="s">
        <v>94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47825</v>
      </c>
      <c r="K28" s="49">
        <v>7294</v>
      </c>
      <c r="L28" s="49">
        <v>18309</v>
      </c>
      <c r="M28" s="49">
        <v>1989</v>
      </c>
      <c r="N28" s="49">
        <v>9432</v>
      </c>
      <c r="O28" s="49">
        <v>0</v>
      </c>
      <c r="P28" s="49">
        <v>0</v>
      </c>
      <c r="R28" s="92">
        <f>SUM(Year3[[#This Row],[1000]:[7000]])</f>
        <v>0</v>
      </c>
      <c r="S28" s="12">
        <f>SUM(Year3[[#This Row],[OBJ-1000]:[OBJ-7000]])</f>
        <v>84849</v>
      </c>
      <c r="T28" s="93">
        <f t="shared" si="2"/>
        <v>84849</v>
      </c>
    </row>
    <row r="29" spans="1:20" x14ac:dyDescent="0.2">
      <c r="A29" t="s">
        <v>40</v>
      </c>
      <c r="B29" t="s">
        <v>94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R29" s="92">
        <f>SUM(Year3[[#This Row],[1000]:[7000]])</f>
        <v>0</v>
      </c>
      <c r="S29" s="12">
        <f>SUM(Year3[[#This Row],[OBJ-1000]:[OBJ-7000]])</f>
        <v>0</v>
      </c>
      <c r="T29" s="93">
        <f t="shared" si="2"/>
        <v>0</v>
      </c>
    </row>
    <row r="30" spans="1:20" x14ac:dyDescent="0.2">
      <c r="A30" t="s">
        <v>41</v>
      </c>
      <c r="B30" t="s">
        <v>94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4583</v>
      </c>
      <c r="N30" s="49">
        <v>1440</v>
      </c>
      <c r="O30" s="49">
        <v>0</v>
      </c>
      <c r="P30" s="49">
        <v>0</v>
      </c>
      <c r="R30" s="92">
        <f>SUM(Year3[[#This Row],[1000]:[7000]])</f>
        <v>0</v>
      </c>
      <c r="S30" s="12">
        <f>SUM(Year3[[#This Row],[OBJ-1000]:[OBJ-7000]])</f>
        <v>6023</v>
      </c>
      <c r="T30" s="93">
        <f t="shared" si="2"/>
        <v>6023</v>
      </c>
    </row>
    <row r="31" spans="1:20" x14ac:dyDescent="0.2">
      <c r="A31" t="s">
        <v>42</v>
      </c>
      <c r="B31" t="s">
        <v>94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10815</v>
      </c>
      <c r="K31" s="49">
        <v>0</v>
      </c>
      <c r="L31" s="49">
        <v>4978</v>
      </c>
      <c r="M31" s="49">
        <v>0</v>
      </c>
      <c r="N31" s="49">
        <v>0</v>
      </c>
      <c r="O31" s="49">
        <v>0</v>
      </c>
      <c r="P31" s="49">
        <v>0</v>
      </c>
      <c r="R31" s="92">
        <f>SUM(Year3[[#This Row],[1000]:[7000]])</f>
        <v>0</v>
      </c>
      <c r="S31" s="12">
        <f>SUM(Year3[[#This Row],[OBJ-1000]:[OBJ-7000]])</f>
        <v>15793</v>
      </c>
      <c r="T31" s="93">
        <f t="shared" si="2"/>
        <v>15793</v>
      </c>
    </row>
    <row r="32" spans="1:20" x14ac:dyDescent="0.2">
      <c r="A32" t="s">
        <v>43</v>
      </c>
      <c r="B32" t="s">
        <v>94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R32" s="97">
        <f>SUM(Year3[[#This Row],[1000]:[7000]])</f>
        <v>0</v>
      </c>
      <c r="S32" s="98">
        <f>SUM(Year3[[#This Row],[OBJ-1000]:[OBJ-7000]])</f>
        <v>0</v>
      </c>
      <c r="T32" s="99">
        <f t="shared" si="2"/>
        <v>0</v>
      </c>
    </row>
    <row r="33" spans="1:19" hidden="1" x14ac:dyDescent="0.2">
      <c r="A33" t="s">
        <v>45</v>
      </c>
      <c r="B33" t="s">
        <v>47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R33" s="13">
        <f>SUM(Year3[[#This Row],[1000]:[7000]])</f>
        <v>0</v>
      </c>
      <c r="S33" s="13">
        <f>SUM(Year3[[#This Row],[OBJ-1000]:[OBJ-7000]])</f>
        <v>0</v>
      </c>
    </row>
  </sheetData>
  <sheetProtection selectLockedCells="1"/>
  <mergeCells count="4">
    <mergeCell ref="C1:I1"/>
    <mergeCell ref="J1:P1"/>
    <mergeCell ref="R1:T1"/>
    <mergeCell ref="A1:B1"/>
  </mergeCells>
  <phoneticPr fontId="23" type="noConversion"/>
  <pageMargins left="0.7" right="0.7" top="0.75" bottom="0.75" header="0.3" footer="0.3"/>
  <pageSetup scale="85" fitToWidth="3" orientation="landscape" r:id="rId1"/>
  <colBreaks count="2" manualBreakCount="2">
    <brk id="9" max="1048575" man="1"/>
    <brk id="17" max="1048575" man="1"/>
  </colBreaks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QUARTERLY_REPORTING</vt:lpstr>
      <vt:lpstr>ALLOCATIONS</vt:lpstr>
      <vt:lpstr>EXPENDITURES</vt:lpstr>
      <vt:lpstr>QUARTERLY_REPORTING!Print_Area</vt:lpstr>
      <vt:lpstr>EXPENDITURES!Print_Titles</vt:lpstr>
      <vt:lpstr>QUARTERLY_REPORTING!Print_Titles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Pehkonen</dc:creator>
  <cp:lastModifiedBy>Amanda Lake</cp:lastModifiedBy>
  <cp:lastPrinted>2025-10-03T17:18:22Z</cp:lastPrinted>
  <dcterms:created xsi:type="dcterms:W3CDTF">2025-08-26T21:46:27Z</dcterms:created>
  <dcterms:modified xsi:type="dcterms:W3CDTF">2025-10-03T17:46:21Z</dcterms:modified>
</cp:coreProperties>
</file>